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8610" windowHeight="8265" tabRatio="612" firstSheet="1" activeTab="1"/>
  </bookViews>
  <sheets>
    <sheet name="output" sheetId="1" state="hidden" r:id="rId1"/>
    <sheet name="OnScaleCalc" sheetId="2" r:id="rId2"/>
    <sheet name="output_off" sheetId="3" state="hidden" r:id="rId3"/>
    <sheet name="OffScaleCalc" sheetId="4" r:id="rId4"/>
    <sheet name="output_above" sheetId="5" state="hidden" r:id="rId5"/>
    <sheet name="AboveScaleCalc" sheetId="6" r:id="rId6"/>
    <sheet name="GenlInstr" sheetId="7" r:id="rId7"/>
    <sheet name="OffScaleInstr" sheetId="8" r:id="rId8"/>
    <sheet name="AboveScaleInstr" sheetId="9" r:id="rId9"/>
    <sheet name="PayScale" sheetId="10" state="hidden" r:id="rId10"/>
    <sheet name="Payscale_Off" sheetId="11" state="hidden" r:id="rId11"/>
    <sheet name="Sheet1" sheetId="12" state="hidden" r:id="rId12"/>
    <sheet name="Sheet2" sheetId="13" state="hidden" r:id="rId13"/>
  </sheets>
  <externalReferences>
    <externalReference r:id="rId22"/>
  </externalReferences>
  <definedNames>
    <definedName name="acct1_above">'AboveScaleCalc'!$B$45</definedName>
    <definedName name="acct1_off">'OffScaleCalc'!$B$46</definedName>
    <definedName name="acct1_on">'OnScaleCalc'!$B$48</definedName>
    <definedName name="acct2_above">'AboveScaleCalc'!$B$46</definedName>
    <definedName name="acct2_off">'OffScaleCalc'!$B$47</definedName>
    <definedName name="acct2_on">'OnScaleCalc'!$B$49</definedName>
    <definedName name="acct3_above">'AboveScaleCalc'!$B$47</definedName>
    <definedName name="acct3_off">'OffScaleCalc'!$B$48</definedName>
    <definedName name="acct3_on">'OnScaleCalc'!$B$50</definedName>
    <definedName name="acct4_above">'AboveScaleCalc'!$B$48</definedName>
    <definedName name="acct4_off">'OffScaleCalc'!$B$49</definedName>
    <definedName name="acct4_on">'OnScaleCalc'!$B$51</definedName>
    <definedName name="acct5_above">'AboveScaleCalc'!$B$49</definedName>
    <definedName name="acct5_off">'OffScaleCalc'!$B$50</definedName>
    <definedName name="acct5_on">'OnScaleCalc'!$B$52</definedName>
    <definedName name="acct6_above">'AboveScaleCalc'!$B$50</definedName>
    <definedName name="acct6_off">'OffScaleCalc'!$B$51</definedName>
    <definedName name="acct6_on">'OnScaleCalc'!$B$53</definedName>
    <definedName name="acct7_above">'AboveScaleCalc'!$B$51</definedName>
    <definedName name="acct7_off">'OffScaleCalc'!$B$52</definedName>
    <definedName name="acct7_on">'OnScaleCalc'!$B$54</definedName>
    <definedName name="acct8_above">'AboveScaleCalc'!$B$52</definedName>
    <definedName name="acct8_off">'OffScaleCalc'!$B$53</definedName>
    <definedName name="acct8_on">'OnScaleCalc'!$B$55</definedName>
    <definedName name="acct9_above">'AboveScaleCalc'!$B$53</definedName>
    <definedName name="acct9_off">'OffScaleCalc'!$B$54</definedName>
    <definedName name="acct9_on">'OnScaleCalc'!$B$56</definedName>
    <definedName name="Annual_Salary" localSheetId="5">'AboveScaleCalc'!$N$39</definedName>
    <definedName name="Annual_Salary">'OnScaleCalc'!$N$42</definedName>
    <definedName name="Annual_Salary_above">'AboveScaleCalc'!$N$39</definedName>
    <definedName name="Annual_Salary_Off">'OffScaleCalc'!$O$40</definedName>
    <definedName name="Assistant" localSheetId="5">'AboveScaleCalc'!$E$36</definedName>
    <definedName name="Assistant">'OnScaleCalc'!$E$39</definedName>
    <definedName name="Assistant_Off">'OffScaleCalc'!$E$37</definedName>
    <definedName name="Assoc_Base" localSheetId="5">'AboveScaleCalc'!$J$37</definedName>
    <definedName name="Assoc_Base">'OnScaleCalc'!$J$40</definedName>
    <definedName name="Assoc_base_Off">'OffScaleCalc'!$J$38</definedName>
    <definedName name="Assoc_curr_scale">'PayScale'!$B$72</definedName>
    <definedName name="Assoc_curr_scale_Off">'Payscale_Off'!$B$52</definedName>
    <definedName name="Assoc_curr_step">'PayScale'!$B$71</definedName>
    <definedName name="Assoc_curr_step_Off">'Payscale_Off'!$B$51</definedName>
    <definedName name="assoc_osc_off">'OffScaleCalc'!$K$38</definedName>
    <definedName name="Assoc_Prof">'PayScale'!$B$11:$U$15</definedName>
    <definedName name="Assoc_Prof_Off">'Payscale_Off'!$B$11:$U$15</definedName>
    <definedName name="Assoc_Tot_HSR">'PayScale'!$M$70:$R$70</definedName>
    <definedName name="Assoc_Tot_HSR_Off">'Payscale_Off'!$M$50:$R$50</definedName>
    <definedName name="Assoc_Tot_HST">'PayScale'!$D$70:$L$70</definedName>
    <definedName name="Assoc_Tot_HST_Off">'Payscale_Off'!$D$50:$L$50</definedName>
    <definedName name="Associate" localSheetId="5">'AboveScaleCalc'!$E$37</definedName>
    <definedName name="Associate">'OnScaleCalc'!$E$40</definedName>
    <definedName name="Associate_Off">'OffScaleCalc'!$E$38</definedName>
    <definedName name="AssocSteps">'PayScale'!$B$65:$B$69</definedName>
    <definedName name="AssocSteps_Off">'Payscale_Off'!$B$45:$B$49</definedName>
    <definedName name="Asst_Base" localSheetId="5">'AboveScaleCalc'!$J$36</definedName>
    <definedName name="Asst_Base">'OnScaleCalc'!$J$39</definedName>
    <definedName name="Asst_base_Off">'OffScaleCalc'!$J$37</definedName>
    <definedName name="Asst_curr_scale">'PayScale'!$B$61</definedName>
    <definedName name="Asst_curr_scale_Off">'Payscale_Off'!$B$41</definedName>
    <definedName name="Asst_curr_step">'PayScale'!$B$60</definedName>
    <definedName name="Asst_curr_step_Off">'Payscale_Off'!$B$40</definedName>
    <definedName name="asst_osc_off">'OffScaleCalc'!$K$37</definedName>
    <definedName name="Asst_Prof">'PayScale'!$B$5:$U$10</definedName>
    <definedName name="Asst_Prof_Off">'Payscale_Off'!$B$5:$U$10</definedName>
    <definedName name="Asst_Tot_HSR">'PayScale'!$M$59:$R$59</definedName>
    <definedName name="Asst_Tot_HSR_Off">'Payscale_Off'!$M$39:$R$39</definedName>
    <definedName name="Asst_Tot_HST">'PayScale'!$D$59:$L$59</definedName>
    <definedName name="Asst_Tot_HST_Off">'Payscale_Off'!$D$39:$L$39</definedName>
    <definedName name="AsstSteps">'PayScale'!$B$53:$B$58</definedName>
    <definedName name="AsstSteps_Off">'Payscale_Off'!$B$33:$B$38</definedName>
    <definedName name="cap_option_above">'AboveScaleCalc'!$Q$90</definedName>
    <definedName name="cap_option_off">'OffScaleCalc'!$Q$91</definedName>
    <definedName name="cap_option_on">'OnScaleCalc'!$Q$93</definedName>
    <definedName name="comment_on">'OnScaleCalc'!$AE$5</definedName>
    <definedName name="dataentry_cells_on">'OnScaleCalc'!$D$11:$E$14,'OnScaleCalc'!#REF!,'OnScaleCalc'!$E$31,'OnScaleCalc'!$E$34,'OnScaleCalc'!$E$36:$E$41,'OnScaleCalc'!$Q$38:$T$38,'OnScaleCalc'!$Q$39:$T$39,'OnScaleCalc'!$A$48:$C$56,'OnScaleCalc'!$E$48:$F$56,'OnScaleCalc'!$A$71:$J$73</definedName>
    <definedName name="dataentry_off">'OffScaleCalc'!$E$46:$F$54,'OffScaleCalc'!$A$46:$C$54,'OffScaleCalc'!$E$34:$E$39,'OffScaleCalc'!$E$32,'OffScaleCalc'!$E$29,'OffScaleCalc'!$R$36:$V$37,'OffScaleCalc'!$S$69:$V$71,'OffScaleCalc'!$A$69,'OffScaleCalc'!$E$10:$F$13,'OffScaleCalc'!#REF!</definedName>
    <definedName name="dataentry_on">'OnScaleCalc'!$D$11:$D$14,'OnScaleCalc'!$E$31,'OnScaleCalc'!$E$34,'OnScaleCalc'!$E$36:$E$41,'OnScaleCalc'!$Q$38:$T$39,'OnScaleCalc'!$A$48:$C$56,'OnScaleCalc'!$E$48:$F$56,'OnScaleCalc'!$A$71:$J$73,'OnScaleCalc'!$R$71:$T$73</definedName>
    <definedName name="de_above">'AboveScaleCalc'!$E$10:$E$13,'AboveScaleCalc'!$E$28,'AboveScaleCalc'!$E$31,'AboveScaleCalc'!$E$33:$E$34,'AboveScaleCalc'!$E$38,'AboveScaleCalc'!$A$45:$F$53,'AboveScaleCalc'!$Q$35:$T$36</definedName>
    <definedName name="de_off">'OffScaleCalc'!$E$10:$E$13,'OffScaleCalc'!$E$29,'OffScaleCalc'!$E$32,'OffScaleCalc'!$E$34:$E$39,'OffScaleCalc'!$K$36:$K$39,'OffScaleCalc'!$R$36:$V$37,'OffScaleCalc'!$A$46:$F$54</definedName>
    <definedName name="DeptXList">#REF!</definedName>
    <definedName name="dos_1_above">'AboveScaleCalc'!$J$43</definedName>
    <definedName name="dos_1_off">'OffScaleCalc'!$J$44</definedName>
    <definedName name="dos_1_on">'OnScaleCalc'!$J$82</definedName>
    <definedName name="dos_2_above">'AboveScaleCalc'!$K$43</definedName>
    <definedName name="dos_2_off">'OffScaleCalc'!$K$44</definedName>
    <definedName name="dos_2_on">'OnScaleCalc'!$K$82</definedName>
    <definedName name="dos_3_above">'AboveScaleCalc'!$L$43</definedName>
    <definedName name="dos_3_off">'OffScaleCalc'!$L$44</definedName>
    <definedName name="dos_3_on">'OnScaleCalc'!$L$82</definedName>
    <definedName name="dos_4_above">'AboveScaleCalc'!$M$43</definedName>
    <definedName name="dos_4_off">'OffScaleCalc'!$M$44</definedName>
    <definedName name="dos_4_on">'OnScaleCalc'!$M$82</definedName>
    <definedName name="dos_5_off">'OffScaleCalc'!$N$44</definedName>
    <definedName name="dos1_diff_above">'AboveScaleCalc'!$P$65</definedName>
    <definedName name="dos1_diff_off">'OffScaleCalc'!$Q$66</definedName>
    <definedName name="dos1_diff_on">'OnScaleCalc'!$P$68</definedName>
    <definedName name="dos1_total_above">'AboveScaleCalc'!$J$101</definedName>
    <definedName name="dos1_total_off">'OffScaleCalc'!$J$102</definedName>
    <definedName name="dos1_total_on">'OnScaleCalc'!$J$104</definedName>
    <definedName name="dos2_diff_above">'AboveScaleCalc'!$Q$65</definedName>
    <definedName name="dos2_diff_off">'OffScaleCalc'!$R$66</definedName>
    <definedName name="dos2_diff_on">'OnScaleCalc'!$Q$68</definedName>
    <definedName name="dos2_total_above">'AboveScaleCalc'!$K$101</definedName>
    <definedName name="dos2_total_off">'OffScaleCalc'!$K$102</definedName>
    <definedName name="dos2_total_on">'OnScaleCalc'!$K$104</definedName>
    <definedName name="dos3_diff_above">'AboveScaleCalc'!$R$65</definedName>
    <definedName name="dos3_diff_off">'OffScaleCalc'!$S$66</definedName>
    <definedName name="dos3_diff_on">'OnScaleCalc'!$R$68</definedName>
    <definedName name="dos3_total_above">'AboveScaleCalc'!$L$101</definedName>
    <definedName name="dos3_total_off">'OffScaleCalc'!$L$102</definedName>
    <definedName name="dos3_total_on">'OnScaleCalc'!$L$104</definedName>
    <definedName name="dos4_diff_above">'AboveScaleCalc'!$S$65</definedName>
    <definedName name="dos4_diff_off">'OffScaleCalc'!$T$66</definedName>
    <definedName name="dos4_diff_on">'OnScaleCalc'!$S$68</definedName>
    <definedName name="dos4_total_above">'AboveScaleCalc'!$M$101</definedName>
    <definedName name="dos4_total_off">'OffScaleCalc'!$M$102</definedName>
    <definedName name="dos4_total_on">'OnScaleCalc'!$M$104</definedName>
    <definedName name="dos5_diff_off">'OffScaleCalc'!$U$66</definedName>
    <definedName name="dos5_total_off">'OffScaleCalc'!$N$102</definedName>
    <definedName name="eeid_above">'AboveScaleCalc'!$E$10</definedName>
    <definedName name="eeid_off">'OffScaleCalc'!$E$10</definedName>
    <definedName name="eeid_on">'OnScaleCalc'!$D$11</definedName>
    <definedName name="entryorder_on">'OnScaleCalc'!$D$12:$D$14,'OnScaleCalc'!#REF!,'OnScaleCalc'!#REF!,'OnScaleCalc'!$E$31,'OnScaleCalc'!$E$34,'OnScaleCalc'!$E$36:$E$41,'OnScaleCalc'!$Q$38:$T$38,'OnScaleCalc'!$Q$39:$T$39,'OnScaleCalc'!$A$48:$C$48,'OnScaleCalc'!$E$48:$F$48,'OnScaleCalc'!$A$49:$C$49</definedName>
    <definedName name="f" localSheetId="5">'AboveScaleCalc'!$N$9</definedName>
    <definedName name="f">'OnScaleCalc'!$N$9</definedName>
    <definedName name="Fed_Limit" localSheetId="5">'AboveScaleCalc'!$N$6</definedName>
    <definedName name="Fed_Limit">'OnScaleCalc'!$N$6</definedName>
    <definedName name="Fed_Limit_Above">#REF!</definedName>
    <definedName name="Fed_Limit_Off">#REF!</definedName>
    <definedName name="first_above">'AboveScaleCalc'!$E$13</definedName>
    <definedName name="first_off">'OffScaleCalc'!$E$13</definedName>
    <definedName name="first_on">'OnScaleCalc'!$D$14</definedName>
    <definedName name="Five" localSheetId="5">'AboveScaleCalc'!$N$9</definedName>
    <definedName name="Five">'OnScaleCalc'!$N$9</definedName>
    <definedName name="Four" localSheetId="5">'AboveScaleCalc'!$N$8</definedName>
    <definedName name="Four">'OnScaleCalc'!$N$8</definedName>
    <definedName name="fundtype_dds_on">"Drop Down 491,Drop Down 497,Drop Down 498,Drop Down 499,Drop Down 500,Drop Down 501,Drop Down 502,Drop Down 503,Drop Down 504"</definedName>
    <definedName name="fundtype_link_above">'AboveScaleCalc'!$E$82:$E$90</definedName>
    <definedName name="fundtype_link_off">'OffScaleCalc'!$E$84:$E$92,'OffScaleCalc'!$Q$83,'OffScaleCalc'!$Q$84,'OffScaleCalc'!$Q$91</definedName>
    <definedName name="fundtype1">'OnScaleCalc'!$E$85</definedName>
    <definedName name="fundtype1_above">'AboveScaleCalc'!$E$82</definedName>
    <definedName name="fundtype1_off">'OffScaleCalc'!$E$84</definedName>
    <definedName name="fundtype2">'OnScaleCalc'!$E$86</definedName>
    <definedName name="fundtype2_above">'AboveScaleCalc'!$E$83</definedName>
    <definedName name="fundtype2_off">'OffScaleCalc'!$E$85</definedName>
    <definedName name="fundtype3">'OnScaleCalc'!$E$87</definedName>
    <definedName name="fundtype3_above">'AboveScaleCalc'!$E$84</definedName>
    <definedName name="fundtype3_off">'OffScaleCalc'!$E$86</definedName>
    <definedName name="fundtype4">'OnScaleCalc'!$E$88</definedName>
    <definedName name="fundtype4_above">'AboveScaleCalc'!$E$85</definedName>
    <definedName name="fundtype4_off">'OffScaleCalc'!$E$87</definedName>
    <definedName name="fundtype5">'OnScaleCalc'!$E$89</definedName>
    <definedName name="fundtype5_above">'AboveScaleCalc'!$E$86</definedName>
    <definedName name="fundtype5_off">'OffScaleCalc'!$E$88</definedName>
    <definedName name="fundtype6">'OnScaleCalc'!$E$90</definedName>
    <definedName name="fundtype6_above">'AboveScaleCalc'!$E$87</definedName>
    <definedName name="fundtype6_off">'OffScaleCalc'!$E$89</definedName>
    <definedName name="fundtype7">'OnScaleCalc'!$E$91</definedName>
    <definedName name="fundtype7_above">'AboveScaleCalc'!$E$88</definedName>
    <definedName name="fundtype7_off">'OffScaleCalc'!$E$90</definedName>
    <definedName name="fundtype8">'OnScaleCalc'!$E$92</definedName>
    <definedName name="fundtype8_above">'AboveScaleCalc'!$E$89</definedName>
    <definedName name="fundtype8_off">'OffScaleCalc'!$E$91</definedName>
    <definedName name="fundtype9">'OnScaleCalc'!$E$93</definedName>
    <definedName name="fundtype9_above">'AboveScaleCalc'!$E$90</definedName>
    <definedName name="fundtype9_off">'OffScaleCalc'!$E$92</definedName>
    <definedName name="hbx">'PayScale'!$W$49:$X$58</definedName>
    <definedName name="HSR_I4">'PayScale'!$K$49</definedName>
    <definedName name="HSR_I4_Off">'Payscale_Off'!$K$29</definedName>
    <definedName name="HSR_I5">'PayScale'!$L$49</definedName>
    <definedName name="HSR_I5_Off">'Payscale_Off'!$L$29</definedName>
    <definedName name="HSR_I6">'PayScale'!$M$49</definedName>
    <definedName name="HSR_I6_Off">'Payscale_Off'!$M$29</definedName>
    <definedName name="HSR_I7">'PayScale'!$N$49</definedName>
    <definedName name="HSR_I7_Off">'Payscale_Off'!$N$29</definedName>
    <definedName name="HSR4">'PayScale'!$K$53:$K$58</definedName>
    <definedName name="HSR4_AP">'PayScale'!$K$65:$K$69</definedName>
    <definedName name="HSR4_AP_Off">'Payscale_Off'!$K$45:$K$49</definedName>
    <definedName name="HSR4_Off">'Payscale_Off'!$K$33:$K$38</definedName>
    <definedName name="HSR4_P">'PayScale'!$K$76:$K$84</definedName>
    <definedName name="HSR4_P_Off">'Payscale_Off'!$K$56:$K$64</definedName>
    <definedName name="HSR5">'PayScale'!$L$53:$L$58</definedName>
    <definedName name="HSR5_AP">'PayScale'!$L$65:$L$69</definedName>
    <definedName name="HSR5_AP_Off">'Payscale_Off'!$L$45:$L$49</definedName>
    <definedName name="HSR5_Off">'Payscale_Off'!$L$33:$L$38</definedName>
    <definedName name="HSR5_P">'PayScale'!$L$76:$L$84</definedName>
    <definedName name="HSR5_P_Off">'Payscale_Off'!$L$56:$L$64</definedName>
    <definedName name="HSR6">'PayScale'!$M$53:$M$58</definedName>
    <definedName name="HSR6_AP">'PayScale'!$M$65:$M$69</definedName>
    <definedName name="HSR6_AP_Off">'Payscale_Off'!$M$45:$M$49</definedName>
    <definedName name="HSR6_Off">'Payscale_Off'!$M$33:$M$38</definedName>
    <definedName name="HSR6_P">'PayScale'!$M$76:$M$84</definedName>
    <definedName name="HSR6_P_Off">'Payscale_Off'!$M$56:$M$64</definedName>
    <definedName name="HSR7">'PayScale'!$N$53:$N$58</definedName>
    <definedName name="HSR7_AP">'PayScale'!$N$65:$N$69</definedName>
    <definedName name="HSR7_AP_Off">'Payscale_Off'!$N$45:$N$49</definedName>
    <definedName name="HSR7_Off">'Payscale_Off'!$N$33:$N$38</definedName>
    <definedName name="HSR7_P">'PayScale'!$N$76:$N$84</definedName>
    <definedName name="HSR7_P_Off">'Payscale_Off'!$N$56:$N$64</definedName>
    <definedName name="HST_I1">'PayScale'!$D$49</definedName>
    <definedName name="HST_I1_Off">'Payscale_Off'!$D$29</definedName>
    <definedName name="HST_I2">'PayScale'!$E$49</definedName>
    <definedName name="HST_I2_Off">'Payscale_Off'!$E$29</definedName>
    <definedName name="HST_I3">'PayScale'!$F$49</definedName>
    <definedName name="HST_I3_off">'Payscale_Off'!$F$29</definedName>
    <definedName name="HST_I4">'PayScale'!$G$49</definedName>
    <definedName name="HST_I4_Off">'Payscale_Off'!$G$29</definedName>
    <definedName name="HST_I5">'PayScale'!$H$49</definedName>
    <definedName name="HST_I5_Off">'Payscale_Off'!$H$29</definedName>
    <definedName name="HST_I6">'PayScale'!$I$49</definedName>
    <definedName name="HST_I6_Off">'Payscale_Off'!$I$29</definedName>
    <definedName name="HST_I7">'PayScale'!$J$49</definedName>
    <definedName name="HST_I7_Off">'Payscale_Off'!$J$29</definedName>
    <definedName name="HST1">'PayScale'!$D$53:$D$58</definedName>
    <definedName name="HST1_AP">'PayScale'!$D$65:$D$69</definedName>
    <definedName name="HST1_AP_Off">'Payscale_Off'!$D$45:$D$49</definedName>
    <definedName name="HST1_Off">'Payscale_Off'!$D$33:$D$38</definedName>
    <definedName name="HST1_P">'PayScale'!$D$76:$D$84</definedName>
    <definedName name="HST1_P_Off">'Payscale_Off'!$D$56:$D$64</definedName>
    <definedName name="HST2">'PayScale'!$E$53:$E$58</definedName>
    <definedName name="HST2_AP">'PayScale'!$E$65:$E$69</definedName>
    <definedName name="HST2_AP_Off">'Payscale_Off'!$E$45:$E$49</definedName>
    <definedName name="HST2_Off">'Payscale_Off'!$E$33:$E$38</definedName>
    <definedName name="HST2_P">'PayScale'!$E$76:$E$84</definedName>
    <definedName name="HST2_P_Off">'Payscale_Off'!$E$56:$E$64</definedName>
    <definedName name="HST3">'PayScale'!$F$53:$F$58</definedName>
    <definedName name="HST3_AP">'PayScale'!$F$65:$F$69</definedName>
    <definedName name="HST3_AP_Off">'Payscale_Off'!$F$45:$F$49</definedName>
    <definedName name="HST3_Off">'Payscale_Off'!$F$33:$F$38</definedName>
    <definedName name="HST3_P">'PayScale'!$F$76:$F$84</definedName>
    <definedName name="HST3_P_Off">'Payscale_Off'!$F$56:$F$64</definedName>
    <definedName name="HST4">'PayScale'!$G$53:$G$58</definedName>
    <definedName name="HST4_AP">'PayScale'!$G$65:$G$69</definedName>
    <definedName name="HST4_AP_Off">'Payscale_Off'!$G$45:$G$49</definedName>
    <definedName name="HST4_Off">'Payscale_Off'!$G$33:$G$38</definedName>
    <definedName name="HST4_P">'PayScale'!$G$76:$G$84</definedName>
    <definedName name="HST4_P_Off">'Payscale_Off'!$G$56:$G$64</definedName>
    <definedName name="HST5">'PayScale'!$H$53:$H$58</definedName>
    <definedName name="HST5_AP">'PayScale'!$H$65:$H$69</definedName>
    <definedName name="HST5_AP_Off">'Payscale_Off'!$H$45:$H$49</definedName>
    <definedName name="HST5_Off">'Payscale_Off'!$H$33:$H$38</definedName>
    <definedName name="HST5_P">'PayScale'!$H$76:$H$84</definedName>
    <definedName name="HST5_P_Off">'Payscale_Off'!$H$56:$H$64</definedName>
    <definedName name="HST6">'PayScale'!$I$53:$I$58</definedName>
    <definedName name="HST6_AP">'PayScale'!$I$65:$I$69</definedName>
    <definedName name="HST6_AP_Off">'Payscale_Off'!$I$45:$I$49</definedName>
    <definedName name="HST6_Off">'Payscale_Off'!$I$33:$I$38</definedName>
    <definedName name="HST6_P">'PayScale'!$I$76:$I$84</definedName>
    <definedName name="HST6_P_Off">'Payscale_Off'!$I$56:$I$64</definedName>
    <definedName name="HST7">'PayScale'!$J$53:$J$58</definedName>
    <definedName name="HST7_AP">'PayScale'!$J$65:$J$69</definedName>
    <definedName name="HST7_AP_Off">'Payscale_Off'!$J$45:$J$49</definedName>
    <definedName name="HST7_Off">'Payscale_Off'!$J$33:$J$38</definedName>
    <definedName name="HST7_P">'PayScale'!$J$76:$J$84</definedName>
    <definedName name="HST7_P_Off">'Payscale_Off'!$J$56:$J$64</definedName>
    <definedName name="inst_osc_off">'OffScaleCalc'!$K$36</definedName>
    <definedName name="Instr_base" localSheetId="5">'AboveScaleCalc'!$J$35</definedName>
    <definedName name="Instr_base">'OnScaleCalc'!$J$38</definedName>
    <definedName name="Instr_base_Off">'OffScaleCalc'!$J$36</definedName>
    <definedName name="Instr_curr_Scale">'PayScale'!$B$51</definedName>
    <definedName name="Instr_curr_Scale_off">'Payscale_Off'!$B$31</definedName>
    <definedName name="Instr_curr_Step">'PayScale'!$B$50</definedName>
    <definedName name="Instr_curr_Step_off">'Payscale_Off'!$B$30</definedName>
    <definedName name="Instr_Range">'PayScale'!$B$4:$U$4</definedName>
    <definedName name="Instr_Range_off">'Payscale_Off'!$B$4:$U$4</definedName>
    <definedName name="Instr_Tot_HSR">'PayScale'!$M$50:$R$50</definedName>
    <definedName name="Instr_Tot_HSR_off">'Payscale_Off'!$M$30:$R$30</definedName>
    <definedName name="Instr_Tot_HST">'PayScale'!$D$50:$L$50</definedName>
    <definedName name="Instr_Tot_HST_off">'Payscale_Off'!$D$30:$L$30</definedName>
    <definedName name="InstrSteps">'PayScale'!$B$49</definedName>
    <definedName name="InstrSteps_off">'Payscale_Off'!$B$29</definedName>
    <definedName name="Instructor" localSheetId="5">'AboveScaleCalc'!$E$35</definedName>
    <definedName name="Instructor">'OnScaleCalc'!$E$38</definedName>
    <definedName name="Instructor_Off">'OffScaleCalc'!$E$36</definedName>
    <definedName name="last_above">'AboveScaleCalc'!$E$12</definedName>
    <definedName name="last_off">'OffScaleCalc'!$E$12</definedName>
    <definedName name="last_on">'OnScaleCalc'!$D$13</definedName>
    <definedName name="limits">'OnScaleCalc'!$M$5:$P$15</definedName>
    <definedName name="limits_above">'AboveScaleCalc'!$M$5:$P$14</definedName>
    <definedName name="limits_off">'OffScaleCalc'!$N$5:$Q$16</definedName>
    <definedName name="Match">#REF!</definedName>
    <definedName name="matchrange">#REF!</definedName>
    <definedName name="mo_funds_dd_on">"Drop Down 505,Drop Down 506"</definedName>
    <definedName name="month_source">'OnScaleCalc'!$P$85:$P$86</definedName>
    <definedName name="month_source_above">'AboveScaleCalc'!$P$82:$P$83</definedName>
    <definedName name="month_source_off">'OffScaleCalc'!$Q$83:$Q$84</definedName>
    <definedName name="month_total">'OnScaleCalc'!$N$43</definedName>
    <definedName name="month_total_above">'AboveScaleCalc'!$N$40</definedName>
    <definedName name="month_total_off">'OffScaleCalc'!$O$41</definedName>
    <definedName name="Off_funds">'Payscale_Off'!$U$26:$U$28</definedName>
    <definedName name="On_funds">'PayScale'!$Z$48:$Z$50</definedName>
    <definedName name="output_above_de">'output_above'!$E$8:$F$14,'output_above'!$I$8:$J$14,'output_above'!$E$18:$F$36,'output_above'!$I$18:$J$36,'output_above'!$E$57:$F$60,'output_above'!$H$57:$J$60</definedName>
    <definedName name="output_off_de">'output_off'!$E$8:$F$16,'output_off'!$I$8:$J$16,'output_off'!$E$18:$F$21,'output_off'!$E$22:$F$62,'output_off'!$I$18:$J$62,'output_off'!$E$65:$F$69,'output_off'!$H$65:$J$69</definedName>
    <definedName name="output_on_de">'output'!$E$8:$F$16,'output'!$E$18:$F$52,'output'!$E$55:$F$58,'output'!$I$8:$J$16,'output'!$I$18:$J$52,'output'!$H$55:$J$58</definedName>
    <definedName name="OverCAP">'OnScaleCalc'!$N$27</definedName>
    <definedName name="OverCAP_above">'AboveScaleCalc'!$N$24</definedName>
    <definedName name="OverCAP_Off">'OffScaleCalc'!$O$24</definedName>
    <definedName name="pcn_above">'AboveScaleCalc'!$E$11</definedName>
    <definedName name="pcn_off">'OffScaleCalc'!$E$11</definedName>
    <definedName name="pcn_on">'OnScaleCalc'!$D$12</definedName>
    <definedName name="pct_xtrmrl">'OnScaleCalc'!$F$104</definedName>
    <definedName name="pct_xtrmrl_above">'AboveScaleCalc'!$F$101</definedName>
    <definedName name="pct_xtrmrl_off">'OffScaleCalc'!$F$102</definedName>
    <definedName name="_xlnm.Print_Area" localSheetId="8">'AboveScaleInstr'!$A$1:$G$25</definedName>
    <definedName name="_xlnm.Print_Area" localSheetId="6">'GenlInstr'!$A$1:$G$33</definedName>
    <definedName name="_xlnm.Print_Area" localSheetId="7">'OffScaleInstr'!$A$1:$G$11</definedName>
    <definedName name="_xlnm.Print_Area" localSheetId="1">'OnScaleCalc'!$A$1:$V$76</definedName>
    <definedName name="_xlnm.Print_Area" localSheetId="0">'output'!$D:$K</definedName>
    <definedName name="_xlnm.Print_Area" localSheetId="4">'output_above'!$D$1:$K$62</definedName>
    <definedName name="_xlnm.Print_Area" localSheetId="2">'output_off'!$D$1:$K$71</definedName>
    <definedName name="Prof">'OnScaleCalc'!$E$41</definedName>
    <definedName name="Prof_Above">'AboveScaleCalc'!$E$38</definedName>
    <definedName name="Prof_Base">'OnScaleCalc'!$J$41</definedName>
    <definedName name="Prof_Base_Above">'AboveScaleCalc'!$J$38</definedName>
    <definedName name="Prof_base_Off">'OffScaleCalc'!$J$39</definedName>
    <definedName name="Prof_curr_scale">'PayScale'!$B$87</definedName>
    <definedName name="Prof_curr_scale_Off">'Payscale_Off'!$B$67</definedName>
    <definedName name="Prof_curr_step">'PayScale'!$B$86</definedName>
    <definedName name="Prof_curr_step_Off">'Payscale_Off'!$B$66</definedName>
    <definedName name="Prof_Off">'OffScaleCalc'!$E$39</definedName>
    <definedName name="prof_osc_off">'OffScaleCalc'!$K$39</definedName>
    <definedName name="Prof_Tot_HSR">'PayScale'!$M$85:$R$85</definedName>
    <definedName name="Prof_Tot_HSR_Off">'Payscale_Off'!$M$65:$R$65</definedName>
    <definedName name="Prof_Tot_HST">'PayScale'!$D$85:$L$85</definedName>
    <definedName name="Prof_Tot_HST_Off">'Payscale_Off'!$D$65:$L$65</definedName>
    <definedName name="professor">'PayScale'!$B$16:$U$24</definedName>
    <definedName name="Professor_Off">'Payscale_Off'!$B$16:$U$24</definedName>
    <definedName name="ProfSteps">'PayScale'!$B$76:$B$84</definedName>
    <definedName name="ProfSteps_Off">'Payscale_Off'!$B$56:$B$64</definedName>
    <definedName name="REG">'OffScaleCalc'!$J$36</definedName>
    <definedName name="SalaryLimits">'OnScaleCalc'!$M$5:$N$15</definedName>
    <definedName name="Scale">'OnScaleCalc'!$E$37</definedName>
    <definedName name="Scale_Above">'AboveScaleCalc'!$E$34</definedName>
    <definedName name="Scale_Off">'OffScaleCalc'!$E$35</definedName>
    <definedName name="text_off">"date_off,TextBox1,Comment_off"</definedName>
    <definedName name="textboxes_above">'AboveScaleCalc'!$AE$5:$AE$7</definedName>
    <definedName name="textboxes_off">'OffScaleCalc'!$AE$5:$AE$7</definedName>
    <definedName name="textboxes_on">"TextBox2,TextBox3,TextBox1"</definedName>
    <definedName name="time_above">'AboveScaleCalc'!$E$33</definedName>
    <definedName name="time_off">'OffScaleCalc'!$E$34</definedName>
    <definedName name="time_on">'OnScaleCalc'!$E$36</definedName>
  </definedNames>
  <calcPr fullCalcOnLoad="1"/>
  <pivotCaches>
    <pivotCache cacheId="6" r:id="rId14"/>
    <pivotCache cacheId="3" r:id="rId15"/>
    <pivotCache cacheId="4" r:id="rId16"/>
    <pivotCache cacheId="7" r:id="rId17"/>
    <pivotCache cacheId="5" r:id="rId18"/>
    <pivotCache cacheId="2" r:id="rId19"/>
  </pivotCaches>
</workbook>
</file>

<file path=xl/comments2.xml><?xml version="1.0" encoding="utf-8"?>
<comments xmlns="http://schemas.openxmlformats.org/spreadsheetml/2006/main">
  <authors>
    <author>Nancy Jane Walters</author>
    <author>DK</author>
    <author>Sally A. Mead</author>
  </authors>
  <commentList>
    <comment ref="H46" authorId="0">
      <text>
        <r>
          <rPr>
            <b/>
            <sz val="8"/>
            <rFont val="Tahoma"/>
            <family val="2"/>
          </rPr>
          <t>Derived from Target monthly dollars for non-extramural funds less percentage of salary paid from extramural funds.  If fund is extramural, percentage of salary * total monthly is used.</t>
        </r>
      </text>
    </comment>
    <comment ref="I46" authorId="0">
      <text>
        <r>
          <rPr>
            <b/>
            <sz val="8"/>
            <rFont val="Tahoma"/>
            <family val="2"/>
          </rPr>
          <t xml:space="preserve">Actual percentage is the total by funding source AFTER any additional funding is removed from the target rate (ie, extramural funding for a grant at 10% would lower the actual dollar amount paid by 10% total).
</t>
        </r>
        <r>
          <rPr>
            <sz val="8"/>
            <rFont val="Tahoma"/>
            <family val="2"/>
          </rPr>
          <t xml:space="preserve">
</t>
        </r>
      </text>
    </comment>
    <comment ref="F46" authorId="1">
      <text>
        <r>
          <rPr>
            <b/>
            <sz val="8"/>
            <rFont val="Tahoma"/>
            <family val="2"/>
          </rPr>
          <t>Only enter percentages for any extramural funds. Format is .5 is 50%, 1 is 100% . You may enter up to four decimal places. (e.g. .5555)</t>
        </r>
      </text>
    </comment>
    <comment ref="F40" authorId="2">
      <text>
        <r>
          <rPr>
            <b/>
            <sz val="8"/>
            <rFont val="Tahoma"/>
            <family val="2"/>
          </rPr>
          <t>Enter desired step level in one of these three boxes, based on individual's current rank.</t>
        </r>
        <r>
          <rPr>
            <sz val="8"/>
            <rFont val="Tahoma"/>
            <family val="2"/>
          </rPr>
          <t xml:space="preserve">
</t>
        </r>
      </text>
    </comment>
    <comment ref="G46" authorId="2">
      <text>
        <r>
          <rPr>
            <sz val="8"/>
            <rFont val="Tahoma"/>
            <family val="2"/>
          </rPr>
          <t xml:space="preserve">Total initial value based on fund type before any additional funds are entered.
</t>
        </r>
      </text>
    </comment>
    <comment ref="E36" authorId="2">
      <text>
        <r>
          <rPr>
            <b/>
            <sz val="8"/>
            <rFont val="Tahoma"/>
            <family val="2"/>
          </rPr>
          <t>Enter 1.0 for 100%, or a percentage up to four decimal places (e.g., .7562 for 75.62% time).</t>
        </r>
      </text>
    </comment>
    <comment ref="E38" authorId="2">
      <text>
        <r>
          <rPr>
            <b/>
            <sz val="8"/>
            <rFont val="Tahoma"/>
            <family val="2"/>
          </rPr>
          <t xml:space="preserve">If individual has an
Instructor title, enter "X" in this box.
</t>
        </r>
        <r>
          <rPr>
            <sz val="8"/>
            <rFont val="Tahoma"/>
            <family val="2"/>
          </rPr>
          <t xml:space="preserve">
</t>
        </r>
      </text>
    </comment>
  </commentList>
</comments>
</file>

<file path=xl/comments4.xml><?xml version="1.0" encoding="utf-8"?>
<comments xmlns="http://schemas.openxmlformats.org/spreadsheetml/2006/main">
  <authors>
    <author>Nancy Jane Walters</author>
    <author>DK</author>
    <author>Sally A. Mead</author>
    <author>user</author>
  </authors>
  <commentList>
    <comment ref="H44" authorId="0">
      <text>
        <r>
          <rPr>
            <b/>
            <sz val="8"/>
            <rFont val="Tahoma"/>
            <family val="2"/>
          </rPr>
          <t>Derived from Target monthly dollars for non-extramural funds less percentage of salary paid from extramural funds.  If fund is extramural, percentage of salary * total monthly is used.</t>
        </r>
      </text>
    </comment>
    <comment ref="I44" authorId="0">
      <text>
        <r>
          <rPr>
            <b/>
            <sz val="8"/>
            <rFont val="Tahoma"/>
            <family val="2"/>
          </rPr>
          <t>Actual percentage is the total by funding source AFTER any additional funding is removed from the target rate (ie, extramural funding for a grant at 10% would lower the actual dollar amount paid by 10% total).</t>
        </r>
        <r>
          <rPr>
            <sz val="8"/>
            <rFont val="Tahoma"/>
            <family val="2"/>
          </rPr>
          <t xml:space="preserve">
</t>
        </r>
      </text>
    </comment>
    <comment ref="F44" authorId="1">
      <text>
        <r>
          <rPr>
            <b/>
            <sz val="8"/>
            <rFont val="Tahoma"/>
            <family val="2"/>
          </rPr>
          <t>Enter a percentage only for extramural funding.  Enter 0.5 for 50%.
You may enter up to four decimal places. (e.g. .5555).</t>
        </r>
      </text>
    </comment>
    <comment ref="F38" authorId="2">
      <text>
        <r>
          <rPr>
            <b/>
            <sz val="8"/>
            <rFont val="Tahoma"/>
            <family val="2"/>
          </rPr>
          <t>Enter desired step level
in one of these three boxes, based on individual's current rank.</t>
        </r>
        <r>
          <rPr>
            <sz val="8"/>
            <rFont val="Tahoma"/>
            <family val="2"/>
          </rPr>
          <t xml:space="preserve">
</t>
        </r>
      </text>
    </comment>
    <comment ref="E34" authorId="2">
      <text>
        <r>
          <rPr>
            <b/>
            <sz val="8"/>
            <rFont val="Tahoma"/>
            <family val="2"/>
          </rPr>
          <t>Enter 1.0 for 100%, or a percentage up to four decimal places (e.g., .7562 for 75.62% time).</t>
        </r>
        <r>
          <rPr>
            <sz val="8"/>
            <rFont val="Tahoma"/>
            <family val="2"/>
          </rPr>
          <t xml:space="preserve">
</t>
        </r>
      </text>
    </comment>
    <comment ref="E36" authorId="2">
      <text>
        <r>
          <rPr>
            <b/>
            <sz val="8"/>
            <rFont val="Tahoma"/>
            <family val="2"/>
          </rPr>
          <t xml:space="preserve">If individual has an
Instructor title, enter "X" in this box.
</t>
        </r>
        <r>
          <rPr>
            <sz val="8"/>
            <rFont val="Tahoma"/>
            <family val="2"/>
          </rPr>
          <t xml:space="preserve">
</t>
        </r>
      </text>
    </comment>
    <comment ref="I36" authorId="2">
      <text>
        <r>
          <rPr>
            <b/>
            <sz val="8"/>
            <rFont val="Tahoma"/>
            <family val="2"/>
          </rPr>
          <t>Fill in only one of the four boxes at the right, based on individual's approved title.</t>
        </r>
        <r>
          <rPr>
            <sz val="8"/>
            <rFont val="Tahoma"/>
            <family val="2"/>
          </rPr>
          <t xml:space="preserve">
</t>
        </r>
      </text>
    </comment>
    <comment ref="G44" authorId="3">
      <text>
        <r>
          <rPr>
            <b/>
            <sz val="8"/>
            <rFont val="Tahoma"/>
            <family val="2"/>
          </rPr>
          <t>Total initial value based on fund type before any additional funds are entered</t>
        </r>
        <r>
          <rPr>
            <sz val="8"/>
            <rFont val="Tahoma"/>
            <family val="2"/>
          </rPr>
          <t xml:space="preserve">
</t>
        </r>
      </text>
    </comment>
  </commentList>
</comments>
</file>

<file path=xl/comments6.xml><?xml version="1.0" encoding="utf-8"?>
<comments xmlns="http://schemas.openxmlformats.org/spreadsheetml/2006/main">
  <authors>
    <author>Nancy Jane Walters</author>
    <author>Sally A. Mead</author>
    <author>DK</author>
    <author>user</author>
  </authors>
  <commentList>
    <comment ref="H43" authorId="0">
      <text>
        <r>
          <rPr>
            <b/>
            <sz val="8"/>
            <rFont val="Tahoma"/>
            <family val="2"/>
          </rPr>
          <t>Derived from Target monthly dollars for non-extramural funds less percentage of salary paid from extramural funds.  If fund is extramural, percentage of salary * total monthly is used.</t>
        </r>
      </text>
    </comment>
    <comment ref="I43" authorId="0">
      <text>
        <r>
          <rPr>
            <b/>
            <sz val="8"/>
            <rFont val="Tahoma"/>
            <family val="2"/>
          </rPr>
          <t>Actual percentage is the total by funding source AFTER any additional funding is removed from the target rate (ie, extramural funding for a grant at 10% would lower the actual dollar amount paid by 10% total).</t>
        </r>
        <r>
          <rPr>
            <sz val="8"/>
            <rFont val="Tahoma"/>
            <family val="2"/>
          </rPr>
          <t xml:space="preserve">
</t>
        </r>
      </text>
    </comment>
    <comment ref="E33" authorId="1">
      <text>
        <r>
          <rPr>
            <b/>
            <sz val="8"/>
            <rFont val="Tahoma"/>
            <family val="2"/>
          </rPr>
          <t>Enter 1.0 for 100%, or a percentage up to four decimal places (e.g., .7562 for 75.62% time).</t>
        </r>
        <r>
          <rPr>
            <sz val="8"/>
            <rFont val="Tahoma"/>
            <family val="2"/>
          </rPr>
          <t xml:space="preserve">
</t>
        </r>
      </text>
    </comment>
    <comment ref="E38" authorId="1">
      <text>
        <r>
          <rPr>
            <b/>
            <sz val="8"/>
            <rFont val="Tahoma"/>
            <family val="2"/>
          </rPr>
          <t xml:space="preserve">Enter the Approved Above Annual Base Salary Here, rounded to the nearest 100 dollars.
</t>
        </r>
        <r>
          <rPr>
            <sz val="8"/>
            <rFont val="Tahoma"/>
            <family val="2"/>
          </rPr>
          <t xml:space="preserve">
</t>
        </r>
      </text>
    </comment>
    <comment ref="F43" authorId="2">
      <text>
        <r>
          <rPr>
            <b/>
            <sz val="8"/>
            <rFont val="Tahoma"/>
            <family val="2"/>
          </rPr>
          <t>Only enter percentages for any extramural funds. Format is .5 is 50%, 1 is 100% . You may enter up to four decimal places. (e.g. .5555)</t>
        </r>
      </text>
    </comment>
    <comment ref="G43" authorId="3">
      <text>
        <r>
          <rPr>
            <sz val="8"/>
            <rFont val="Tahoma"/>
            <family val="2"/>
          </rPr>
          <t>Total initial value based on fund type before any additional funds are entered</t>
        </r>
      </text>
    </comment>
  </commentList>
</comments>
</file>

<file path=xl/sharedStrings.xml><?xml version="1.0" encoding="utf-8"?>
<sst xmlns="http://schemas.openxmlformats.org/spreadsheetml/2006/main" count="677" uniqueCount="211">
  <si>
    <t>Scale :</t>
  </si>
  <si>
    <t>Base</t>
  </si>
  <si>
    <t>Total</t>
  </si>
  <si>
    <t>DISTRIBUTION</t>
  </si>
  <si>
    <t>REG</t>
  </si>
  <si>
    <t>TOTAL</t>
  </si>
  <si>
    <t>Total compensation distribution</t>
  </si>
  <si>
    <t>HBT</t>
  </si>
  <si>
    <t>FY</t>
  </si>
  <si>
    <t>Scale</t>
  </si>
  <si>
    <t>Rank</t>
  </si>
  <si>
    <t>Step</t>
  </si>
  <si>
    <t>Instructor</t>
  </si>
  <si>
    <t>Asst Prof</t>
  </si>
  <si>
    <t>Assoc Prof</t>
  </si>
  <si>
    <t>Professor</t>
  </si>
  <si>
    <t>Scales</t>
  </si>
  <si>
    <t>Step:</t>
  </si>
  <si>
    <t>Quick reconciliation box</t>
  </si>
  <si>
    <t>x</t>
  </si>
  <si>
    <t>Annual payment amounts</t>
  </si>
  <si>
    <t>Dept. compensation</t>
  </si>
  <si>
    <t>Total Amt.</t>
  </si>
  <si>
    <t xml:space="preserve"> </t>
  </si>
  <si>
    <t>FULL-TIME COMPENSATION BY DOS TYPE</t>
  </si>
  <si>
    <t>Total Percent Time:</t>
  </si>
  <si>
    <t>Last Name :</t>
  </si>
  <si>
    <t>First Name :</t>
  </si>
  <si>
    <t>NIH
CAP</t>
  </si>
  <si>
    <t>Target Percent</t>
  </si>
  <si>
    <t>Actual
Percent</t>
  </si>
  <si>
    <t>Account Number</t>
  </si>
  <si>
    <t>Name</t>
  </si>
  <si>
    <t>Fund 
Number</t>
  </si>
  <si>
    <t>SCALE 1</t>
  </si>
  <si>
    <t>SCALE 2</t>
  </si>
  <si>
    <t>SCALE 3</t>
  </si>
  <si>
    <t>SCALE 4</t>
  </si>
  <si>
    <t>SCALE 5</t>
  </si>
  <si>
    <t>SCALE 6</t>
  </si>
  <si>
    <t>SCALE 7</t>
  </si>
  <si>
    <t>RANK</t>
  </si>
  <si>
    <t>STEP</t>
  </si>
  <si>
    <t>FY SCALE</t>
  </si>
  <si>
    <t>Enter Target Annual Salary:</t>
  </si>
  <si>
    <t>Assistant (enter step):</t>
  </si>
  <si>
    <t>Associate (enter step):</t>
  </si>
  <si>
    <t>Professor (enter step):</t>
  </si>
  <si>
    <t>Comments:</t>
  </si>
  <si>
    <t>?</t>
  </si>
  <si>
    <t>Scale:</t>
  </si>
  <si>
    <t>X</t>
  </si>
  <si>
    <t>Instructor (enter "x"):</t>
  </si>
  <si>
    <t>Derived Dollars (Monthly)</t>
  </si>
  <si>
    <t>Target Dollars (Monthly)</t>
  </si>
  <si>
    <t xml:space="preserve">If you hold the mouse over the red arrows that appear in the corners of certain fields, you will see a comment box with information about that particular field or item.  Click on the ? to get to this linked worksheet of instructions for that item.  Click within the instruction cell to return to the Calculation spreadsheet. </t>
  </si>
  <si>
    <t>Approved by:</t>
  </si>
  <si>
    <t>Date Processed:</t>
  </si>
  <si>
    <t>Employee ID:</t>
  </si>
  <si>
    <t>Percentage by DOS Code</t>
  </si>
  <si>
    <t xml:space="preserve">Monthly </t>
  </si>
  <si>
    <t>Annual</t>
  </si>
  <si>
    <t>Tab down to the 'Scale' field and enter the number of the compensation plan salary scale (i.e., Scale 0 through 9) on which this faculty member is paid.</t>
  </si>
  <si>
    <t>SCALE 8</t>
  </si>
  <si>
    <t>SCALE 9</t>
  </si>
  <si>
    <t>SCALE BASE</t>
  </si>
  <si>
    <t>HBT DIFFERENTIALS</t>
  </si>
  <si>
    <t>HBY</t>
  </si>
  <si>
    <t>HBD - I  DIFFERENTIALS</t>
  </si>
  <si>
    <t>HBD</t>
  </si>
  <si>
    <t>HBE</t>
  </si>
  <si>
    <t>HBF</t>
  </si>
  <si>
    <t>HBG</t>
  </si>
  <si>
    <t>HBH</t>
  </si>
  <si>
    <t>HBI</t>
  </si>
  <si>
    <t>scale</t>
  </si>
  <si>
    <t>HBx</t>
  </si>
  <si>
    <t>Enter Information in the shaded areas below:</t>
  </si>
  <si>
    <t>created by UCSF SOM
Mfd for use by UCD SOM/DSS ckp</t>
  </si>
  <si>
    <t>General Funds</t>
  </si>
  <si>
    <t>MONTHLY FUNDING PRIOR TO ADDING EXTRAMURAL FUNDS</t>
  </si>
  <si>
    <t>Med Comp</t>
  </si>
  <si>
    <t>Extramural Funds</t>
  </si>
  <si>
    <t>Fund Type</t>
  </si>
  <si>
    <t>SELECT ONE</t>
  </si>
  <si>
    <t>PERCENTAGE</t>
  </si>
  <si>
    <t>NIH Salary Cap Prior to Oct-98</t>
  </si>
  <si>
    <t>FY 1999 NIH Awards, Oct-98 to Dec-99</t>
  </si>
  <si>
    <t>FY 1999 NIH Awards, Jan-00 to Dec-00</t>
  </si>
  <si>
    <t>FY 2000 NIH Awards, Oct-99 to Dec-99</t>
  </si>
  <si>
    <t>FY 2000 NIH Awards, Jan-00 to Dec-00</t>
  </si>
  <si>
    <t>TGT % IF XTRAMRL</t>
  </si>
  <si>
    <t>AS</t>
  </si>
  <si>
    <t>Enter Information in the grey shaded areas below:</t>
  </si>
  <si>
    <t xml:space="preserve">You will see that the unprotected fields in the left half of the spreadsheet are highlighted in grey.  These are the cells in which you may enter information. </t>
  </si>
  <si>
    <t>2.  The spreadsheet will calculate all components of the faculty member's salary (i.e., REG, HBT, HBY and HBx) based on the approved Above Scale base that you have entered.</t>
  </si>
  <si>
    <t>OSC</t>
  </si>
  <si>
    <t>Professor (enter OSC):</t>
  </si>
  <si>
    <t>Associate (enter OSC):</t>
  </si>
  <si>
    <t>Assistant (enter OSC):</t>
  </si>
  <si>
    <t>Instructor (enter OSC):</t>
  </si>
  <si>
    <t>PERCENTAGE 1st line</t>
  </si>
  <si>
    <t>PERCENTAGE 2nd line</t>
  </si>
  <si>
    <t>Page down until the 'Total Compensation Distribution' line at the bottom of the 'Funding Information' section is visible.  You will see that 'Derived Dollars' and 'Actual Percent' fields are now populated by fund; the 'Distribution' section's REG, HBT, HBY, HBx and TOTAL fields are populated with appropriate percents by fund, and the NIH Salary Cap Differential fields, where required, are populated with dollar amounts.  The amount shown in the 'Total Derived Dollars' field (plus any NIH Salary Cap Differential that is required) should equal the Total Monthly salary indicated above.</t>
  </si>
  <si>
    <t>Tab down to the appropriate rank for this individual and enter either an 'x' (for an instructor) or the appropriate step (for faculty at the assistant, associate or full professor level).  The fields headed 'Full-Time Compensation by DOS Type' will now be populated with the applicable REG (i.e., Fiscal Year Base), HBT, HBY, HBx, and Total dollar amounts.  These derived amounts are based on what you entered as Annual Salary or X Factor, Total Percent Time, Scale, Rank and Step.</t>
  </si>
  <si>
    <t>1.  A faculty member's salary is designated 'off-scale' if the fiscal year base rate is higher than the rate associated with her/his rank and step in the published UC Salary Scales.  Requests for off-scale salaries must be reviewed and approved in advance, both at the School level and by the Vice Chancellor, Academic Affairs.  They are approved as flat dollar amounts that, like the annual fiscal year base rates, must be rounded to the nearest 100 dollars.  (NOTE: The EDB record for a faculty member with an off-scale FY base rate reflects the individual's approved step on each distribution line, and in addition, an 'O' is recorded in the Off/Above Scale field immediately to the right of Step).</t>
  </si>
  <si>
    <t>1.  Above Scale salaries result when a faculty member at the full professor level is approved for a merit advancement beyond the highest step on the UC faculty fiscal year salary scale; at the present time, this would apply to any merit advancement beyond Professor, step 9.  (NOTE: When this occurs, the Step field in the individual's EDB record is blank, but an 'A' is recorded in the Off/Above Scale field).</t>
  </si>
  <si>
    <t>DOS CODE</t>
  </si>
  <si>
    <t>BEGIN DATE</t>
  </si>
  <si>
    <t>END DATE</t>
  </si>
  <si>
    <t>ACCT</t>
  </si>
  <si>
    <t>SUBACCT</t>
  </si>
  <si>
    <t>EEID</t>
  </si>
  <si>
    <t>Name:</t>
  </si>
  <si>
    <t>Acct</t>
  </si>
  <si>
    <t>OP Fund</t>
  </si>
  <si>
    <t>dos</t>
  </si>
  <si>
    <t>LINE</t>
  </si>
  <si>
    <t>AMOUNT</t>
  </si>
  <si>
    <t>total of dos code</t>
  </si>
  <si>
    <t>% of dos code</t>
  </si>
  <si>
    <t>Data</t>
  </si>
  <si>
    <t>Sum of % of dos code</t>
  </si>
  <si>
    <t>Sum of AMOUNT</t>
  </si>
  <si>
    <t>ACCOUNT</t>
  </si>
  <si>
    <t>Enter Information in the gray shaded areas below:</t>
  </si>
  <si>
    <t>PCN:</t>
  </si>
  <si>
    <t>COMMENT</t>
  </si>
  <si>
    <t>APROVER</t>
  </si>
  <si>
    <t>DATE</t>
  </si>
  <si>
    <t>original %</t>
  </si>
  <si>
    <t>ft1</t>
  </si>
  <si>
    <t>Sum of original %</t>
  </si>
  <si>
    <t>b4diff</t>
  </si>
  <si>
    <t>Actual percent</t>
  </si>
  <si>
    <t>MONTHLY NIH SALARY CAP DIFFERENTIAL</t>
  </si>
  <si>
    <t>comment</t>
  </si>
  <si>
    <t>date</t>
  </si>
  <si>
    <t>approval</t>
  </si>
  <si>
    <t>fundtype</t>
  </si>
  <si>
    <t>acct</t>
  </si>
  <si>
    <t>dos totals</t>
  </si>
  <si>
    <t>dosx_total_off</t>
  </si>
  <si>
    <t>Enter the faculty member's Employee ID Number, PPS Position Control Number, Last and First Name and the inclusive period covered by the funding information you are going to enter.</t>
  </si>
  <si>
    <t>After the Annual Salary or X Factor has been entered, the field, 'Is Salary over low NIH Salary Cap?', will display either a 'Yes' or a 'No'.  A 'Yes' indicates that if any funding sources are subject to the NIH salary cap, enter a number 1-11 to the left of the capped account/fund number (i.e., in the column headed 'NIH Cap') to indicate which NIH cap you plan to use for each fund.  Please note, however, that a 'Yes' in that field does not necessarily mean that any of this individual's salary is NIH funded, only that his/her total salary is greater than the lower of the two caps.</t>
  </si>
  <si>
    <t>Tab down to enter the Annual Salary or the X Factor (where X = % of REG total, e.g. 200% entered as 2, if Annual Base REG is 52,300, X factor of 2 would equal total annual salary of 104,300. ) Note that if you enter the Annual Salary, the X Factor is calculated and displayed, and if you enter the X Factor, the Annual Salary is calculated and displayed.</t>
  </si>
  <si>
    <t xml:space="preserve">Now Tab down to enter Total Percent Time (1.00 is 100%, .50 is 50%, etc.).    </t>
  </si>
  <si>
    <t>* UCD uses the same DOS codes for the differentials as for the components under the salary limits.  Any differential salary is automatically included in the non-extramural funds when the output screen is generated, using the same ratios and accounts by component as the non-differential pay.  (NOTE, that if entering the differentials manually, they may never be charged to other extramarual funding, federal, state, county or city funds that are non-discretionary).</t>
  </si>
  <si>
    <t xml:space="preserve">1. 19900 Funds (in fact, any 199xx funds) may ONLY be used to pay Fiscal Year base, i.e., may be used only on lines with DOS codes REG. </t>
  </si>
  <si>
    <t>3.  For non-ladder rank faculty with a full or partial general funded FTE: at least 50% of the FY base salary, pro-rated by percent of the FTE assigned, must be paid from 19900 (e.g., the formula to be applied for a faculty member assigned a 0.25 FTE: 50% of FY base dollars x .25 FTE = minimum dollars that must be paid from 19900).</t>
  </si>
  <si>
    <r>
      <t xml:space="preserve">4.  For faculty in the Adjunct or In Residence series:  19900 funds may not be used to pay more than 50% of the FY base; this amount, which must be pro-rated by a faculty member's total appointment percent.  Similarly, they will also be allocated the corresponding fraction of the General Funded FTE, never exceeding .5 FTE. (see </t>
    </r>
    <r>
      <rPr>
        <i/>
        <sz val="9"/>
        <rFont val="Arial"/>
        <family val="2"/>
      </rPr>
      <t>APM Sections 220I (ucd),270 and 280)</t>
    </r>
    <r>
      <rPr>
        <sz val="10"/>
        <rFont val="Arial"/>
        <family val="0"/>
      </rPr>
      <t>.</t>
    </r>
  </si>
  <si>
    <r>
      <t xml:space="preserve">5. Salaried Clinical or Clinical X series faculty may be paid up to 100% of their FY base from 19900 funds and be assigned the corresponding General Funded FTE allocation. (see </t>
    </r>
    <r>
      <rPr>
        <i/>
        <sz val="9"/>
        <color indexed="8"/>
        <rFont val="Arial"/>
        <family val="2"/>
      </rPr>
      <t>APM Section 275</t>
    </r>
    <r>
      <rPr>
        <sz val="10"/>
        <color indexed="8"/>
        <rFont val="Arial"/>
        <family val="2"/>
      </rPr>
      <t>).</t>
    </r>
  </si>
  <si>
    <r>
      <t xml:space="preserve">2.  Ladder rank faculty in clinical departmnet may receive full time university appointment with not less than 50% of base salary provided by 19900 funds along with the corresponding fractional FTE allocated to the position.  The remaining portion of the appointment will be in the Professor in Residence, will be paid from non-19900 funds and will not obligate an FTE commitment for that percentage. (see </t>
    </r>
    <r>
      <rPr>
        <i/>
        <sz val="9"/>
        <rFont val="Arial"/>
        <family val="2"/>
      </rPr>
      <t>APM Section UCD-220I - School of Medicine:  Use of Fractional FTEs for Full time appointments</t>
    </r>
    <r>
      <rPr>
        <sz val="10"/>
        <rFont val="Arial"/>
        <family val="0"/>
      </rPr>
      <t>).</t>
    </r>
  </si>
  <si>
    <t>2.  Only the fiscal year base component of salary is 'off-scale' which is comprised of the funding under REG and OSC; the OSC DOS code is also referred to as the Off Scale Increment - the difference between on-scale base and the total off-scale base rates.  All other components of covered compensation (i.e., HBT and HBY) remain at the on-scale rate associated with the individual's rank and step in the published UC Salary Scales.</t>
  </si>
  <si>
    <t>The instructions for on-scale salary calculations also apply for off-scale calculations, with the following additional requirement:  Enter the approved off-scale annual fiscal year base rate (OSC) at the appropriate rank in the column headed 'OSC' under 'Full-Time Compensation by DOS Type' (you will notice that this column is grey in the off-scale spreadsheet, to indicate that you may enter data in these fields).  This will be the additional off-scale increment added to the REG base to comprise the total off-scale base compensation.</t>
  </si>
  <si>
    <t>The instructions for on-scale salary calculations also apply to Above Scale calculations, with the exception of the following:  After entering 'Total Percent Time' and 'Scale', enter the approved Above Scale fiscal year base rate in the field labeled 'Professor (enter FY Base)'.</t>
  </si>
  <si>
    <t>% DIST</t>
  </si>
  <si>
    <t>Enter the MONTHLY totals for each DOS code into the first line (refer to the full-time compensation by DOS type to the left for the values).  If the position has been allocated a general funded FTE, make sure to include a second line, with GenFunds selected from the drop down menu, and enter the monthly amount under the REG column (if a fractional FTE, apply same ratio to the total monthly REG amount, with the remainder under the MedComp line above).  No other DOS code other than REG can be funded by 19900 funds.</t>
  </si>
  <si>
    <t>auth</t>
  </si>
  <si>
    <t>At the bottom of this page, there are additional optional fields in which the department may enter comments, approval initials or signatures, and/or the date on which the form was created or processed.</t>
  </si>
  <si>
    <t>Once the form is complete, select the GENERATE OUTPUT to generate the summary report that will display all of the distributions to be entered.</t>
  </si>
  <si>
    <t>In most cases, the Tab key is used to move from cell to cell in this spreadsheet; however the Enter key is used to move from one line to the next when entering funding information.  Once done with entering data and generating the output report, select the RESET button to begin entering funding for another faculty member.</t>
  </si>
  <si>
    <t>Form Type:</t>
  </si>
  <si>
    <t>Enter Funding Information Below  (only enter % for extramural funding)</t>
  </si>
  <si>
    <t>totals</t>
  </si>
  <si>
    <t>Enter Annual Salary Target for FULL TIME APPOINTMENT</t>
  </si>
  <si>
    <t xml:space="preserve">Total Annual by % Time  </t>
  </si>
  <si>
    <t xml:space="preserve">Total Monthly by % Time  </t>
  </si>
  <si>
    <t>Account Name or Description</t>
  </si>
  <si>
    <t>Extra-Mural Fund%</t>
  </si>
  <si>
    <t>TOTAL ALL DISTRIBUTIONS</t>
  </si>
  <si>
    <t>Professor (enter REG total):</t>
  </si>
  <si>
    <t>Allocate using original DOS Funding</t>
  </si>
  <si>
    <t>Manually assign funding on Output Report</t>
  </si>
  <si>
    <t>Manually assign funding on Distribution Summary</t>
  </si>
  <si>
    <t>CAP_OPTION_ON</t>
  </si>
  <si>
    <t>Must select an Allocation Method to the right when there is a differential amount.</t>
  </si>
  <si>
    <t>cap diff</t>
  </si>
  <si>
    <t>OBJ
CONS</t>
  </si>
  <si>
    <t>CAP_OPTION_OFF</t>
  </si>
  <si>
    <t>cap_option_on</t>
  </si>
  <si>
    <t>cap_option_off</t>
  </si>
  <si>
    <t>cap_option_above</t>
  </si>
  <si>
    <t>ON SCALE</t>
  </si>
  <si>
    <t>ABOVE SCALE</t>
  </si>
  <si>
    <t>OFF SCALE</t>
  </si>
  <si>
    <t>FTE%:</t>
  </si>
  <si>
    <t>FY 2005 NIH Awards, Jan-05 to Dec-05</t>
  </si>
  <si>
    <t>Now Tab down to enter funding information.  When a General Compensation or Med Comp Fundtype is selected, the targeted salary values entered previously will automatically appear under the Targeted salary - there is no need to edit these lines other than to include account info.  When entering any extramural funding, be sure to include the percentage of salary that the funding will cover, and all medcomp and gencomp values will automatically be adjusted to account for the extramural funding.  Remember: if a faculty member's salary exceeds the lower NIH cap rate and your are using a fund source subject to the cap, you must enter a number between 1 and 11 (1-5 hidden to preserve space) in the NIH cap field in order for the NIH salary differential dollars to be calculated correctly.*</t>
  </si>
  <si>
    <t>Fund Number</t>
  </si>
  <si>
    <t>FY 2006 NIH Awards, Jan-06 - Dec-06</t>
  </si>
  <si>
    <t xml:space="preserve"> BASE DIFF MB1</t>
  </si>
  <si>
    <t xml:space="preserve"> BASE DIFF MB2</t>
  </si>
  <si>
    <t xml:space="preserve"> BASE DIFF MB3</t>
  </si>
  <si>
    <t>MB4</t>
  </si>
  <si>
    <t>MB5</t>
  </si>
  <si>
    <t>MB6</t>
  </si>
  <si>
    <t>MB7</t>
  </si>
  <si>
    <t>MB8</t>
  </si>
  <si>
    <t>MB9</t>
  </si>
  <si>
    <t>NIH AWARDS -  JAN 12, 2014</t>
  </si>
  <si>
    <t>CIRM AWARDS - JULY 2014</t>
  </si>
  <si>
    <t>MBT DIFFERENTIALS</t>
  </si>
  <si>
    <t>MBD-I  DIFFERENTIALS</t>
  </si>
  <si>
    <t>NIH AWARDS - JAN 2008</t>
  </si>
  <si>
    <t>NIH AWARDS - JAN 2009</t>
  </si>
  <si>
    <t>NIH AWARDS - JAN 2010 - DEC 22, 2011</t>
  </si>
  <si>
    <t>NIH AWARDS -  DEC 23, 2011</t>
  </si>
  <si>
    <t>NIH AWARDS - JAN 11, 2015</t>
  </si>
  <si>
    <t>NIH AWARDS - JAN 10, 2016</t>
  </si>
  <si>
    <t>Is Salary over lowest (Dec 2011) NIH Salary Cap?</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</si>
</sst>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00"/>
    <numFmt numFmtId="169" formatCode="#,##0.0000"/>
    <numFmt numFmtId="170" formatCode="_(* #,##0.0_);_(* \(#,##0.0\);_(* &quot;-&quot;??_);_(@_)"/>
    <numFmt numFmtId="171" formatCode="_(* #,##0_);_(* \(#,##0\);_(* &quot;-&quot;??_);_(@_)"/>
    <numFmt numFmtId="172" formatCode="_(* #,##0.0000_);_(* \(#,##0.0000\);_(* &quot;-&quot;????_);_(@_)"/>
    <numFmt numFmtId="173" formatCode="0.0%"/>
    <numFmt numFmtId="174" formatCode="#,##0.00000"/>
    <numFmt numFmtId="175" formatCode="#,##0.000000"/>
    <numFmt numFmtId="176" formatCode="0.0000%"/>
    <numFmt numFmtId="177" formatCode="0.00000"/>
    <numFmt numFmtId="178" formatCode="0.0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
    <numFmt numFmtId="187" formatCode="m/d"/>
    <numFmt numFmtId="188" formatCode="###\-###\-###"/>
    <numFmt numFmtId="189" formatCode="###\-##\-####"/>
    <numFmt numFmtId="190" formatCode="_(&quot;$&quot;* #,##0.0_);_(&quot;$&quot;* \(#,##0.0\);_(&quot;$&quot;* &quot;-&quot;??_);_(@_)"/>
    <numFmt numFmtId="191" formatCode="_(&quot;$&quot;* #,##0_);_(&quot;$&quot;* \(#,##0\);_(&quot;$&quot;* &quot;-&quot;??_);_(@_)"/>
    <numFmt numFmtId="192" formatCode="mm/dd/yy"/>
    <numFmt numFmtId="193" formatCode="_(&quot;$&quot;* #,##0.000_);_(&quot;$&quot;* \(#,##0.000\);_(&quot;$&quot;* &quot;-&quot;??_);_(@_)"/>
    <numFmt numFmtId="194" formatCode="_(&quot;$&quot;* #,##0.0000_);_(&quot;$&quot;* \(#,##0.0000\);_(&quot;$&quot;* &quot;-&quot;??_);_(@_)"/>
    <numFmt numFmtId="195" formatCode="&quot;Yes&quot;;&quot;Yes&quot;;&quot;No&quot;"/>
    <numFmt numFmtId="196" formatCode="&quot;True&quot;;&quot;True&quot;;&quot;False&quot;"/>
    <numFmt numFmtId="197" formatCode="&quot;On&quot;;&quot;On&quot;;&quot;Off&quot;"/>
    <numFmt numFmtId="198" formatCode="_(* #,##0.000_);_(* \(#,##0.000\);_(* &quot;-&quot;??_);_(@_)"/>
    <numFmt numFmtId="199" formatCode="_(* #,##0.0000_);_(* \(#,##0.0000\);_(* &quot;-&quot;??_);_(@_)"/>
    <numFmt numFmtId="200" formatCode="mmmm\ d\,\ yyyy"/>
    <numFmt numFmtId="201" formatCode="0.0000000000%"/>
    <numFmt numFmtId="202" formatCode="[$€-2]\ #,##0.00_);[Red]\([$€-2]\ #,##0.00\)"/>
    <numFmt numFmtId="203" formatCode="0.00%"/>
  </numFmts>
  <fonts count="72">
    <font>
      <sz val="10"/>
      <name val="Arial"/>
      <family val="0"/>
    </font>
    <font>
      <b/>
      <sz val="10"/>
      <name val="Arial"/>
      <family val="2"/>
    </font>
    <font>
      <i/>
      <sz val="10"/>
      <name val="Arial"/>
      <family val="2"/>
    </font>
    <font>
      <u val="single"/>
      <sz val="10"/>
      <name val="Arial"/>
      <family val="2"/>
    </font>
    <font>
      <b/>
      <sz val="8"/>
      <name val="Arial"/>
      <family val="2"/>
    </font>
    <font>
      <sz val="9"/>
      <name val="Arial"/>
      <family val="2"/>
    </font>
    <font>
      <sz val="8"/>
      <color indexed="10"/>
      <name val="Arial"/>
      <family val="2"/>
    </font>
    <font>
      <sz val="10"/>
      <color indexed="10"/>
      <name val="Arial"/>
      <family val="2"/>
    </font>
    <font>
      <b/>
      <sz val="10"/>
      <color indexed="10"/>
      <name val="Arial"/>
      <family val="2"/>
    </font>
    <font>
      <sz val="8"/>
      <name val="Tahoma"/>
      <family val="2"/>
    </font>
    <font>
      <b/>
      <u val="single"/>
      <sz val="10"/>
      <name val="Arial"/>
      <family val="2"/>
    </font>
    <font>
      <b/>
      <sz val="8"/>
      <name val="Tahoma"/>
      <family val="2"/>
    </font>
    <font>
      <b/>
      <sz val="29"/>
      <color indexed="17"/>
      <name val="Arial"/>
      <family val="2"/>
    </font>
    <font>
      <b/>
      <sz val="29"/>
      <name val="Arial"/>
      <family val="2"/>
    </font>
    <font>
      <b/>
      <sz val="29"/>
      <color indexed="12"/>
      <name val="Arial"/>
      <family val="2"/>
    </font>
    <font>
      <sz val="8"/>
      <name val="Arial"/>
      <family val="2"/>
    </font>
    <font>
      <u val="single"/>
      <sz val="10"/>
      <color indexed="12"/>
      <name val="Arial"/>
      <family val="2"/>
    </font>
    <font>
      <u val="single"/>
      <sz val="10"/>
      <color indexed="36"/>
      <name val="Arial"/>
      <family val="2"/>
    </font>
    <font>
      <b/>
      <sz val="10"/>
      <color indexed="21"/>
      <name val="Arial"/>
      <family val="2"/>
    </font>
    <font>
      <sz val="10"/>
      <color indexed="21"/>
      <name val="Arial"/>
      <family val="2"/>
    </font>
    <font>
      <sz val="10"/>
      <color indexed="12"/>
      <name val="Arial"/>
      <family val="2"/>
    </font>
    <font>
      <b/>
      <sz val="12"/>
      <color indexed="12"/>
      <name val="Arial"/>
      <family val="2"/>
    </font>
    <font>
      <b/>
      <sz val="12"/>
      <name val="Arial"/>
      <family val="2"/>
    </font>
    <font>
      <u val="single"/>
      <sz val="12"/>
      <color indexed="12"/>
      <name val="Arial"/>
      <family val="2"/>
    </font>
    <font>
      <sz val="10"/>
      <color indexed="8"/>
      <name val="Arial"/>
      <family val="2"/>
    </font>
    <font>
      <b/>
      <i/>
      <sz val="10"/>
      <color indexed="8"/>
      <name val="Arial"/>
      <family val="2"/>
    </font>
    <font>
      <b/>
      <i/>
      <sz val="10"/>
      <name val="Arial"/>
      <family val="2"/>
    </font>
    <font>
      <i/>
      <sz val="8"/>
      <name val="Arial"/>
      <family val="2"/>
    </font>
    <font>
      <i/>
      <sz val="9"/>
      <name val="Arial"/>
      <family val="2"/>
    </font>
    <font>
      <i/>
      <sz val="9"/>
      <color indexed="8"/>
      <name val="Arial"/>
      <family val="2"/>
    </font>
    <font>
      <sz val="12"/>
      <name val="Arial"/>
      <family val="2"/>
    </font>
    <font>
      <b/>
      <sz val="12"/>
      <color indexed="8"/>
      <name val="Arial"/>
      <family val="2"/>
    </font>
    <font>
      <sz val="10"/>
      <color indexed="9"/>
      <name val="Arial"/>
      <family val="2"/>
    </font>
    <font>
      <b/>
      <sz val="10"/>
      <color indexed="9"/>
      <name val="Arial"/>
      <family val="2"/>
    </font>
    <font>
      <b/>
      <sz val="11"/>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55"/>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3"/>
        <bgColor indexed="64"/>
      </patternFill>
    </fill>
    <fill>
      <patternFill patternType="solid">
        <fgColor indexed="43"/>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s>
  <borders count="1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top style="thin"/>
      <bottom style="medium"/>
    </border>
    <border>
      <left style="thin"/>
      <right style="thin"/>
      <top style="thin"/>
      <bottom style="thin"/>
    </border>
    <border>
      <left>
        <color indexed="63"/>
      </left>
      <right>
        <color indexed="63"/>
      </right>
      <top style="thin">
        <color indexed="8"/>
      </top>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double"/>
    </border>
    <border>
      <left>
        <color indexed="63"/>
      </left>
      <right style="thin"/>
      <top style="thin"/>
      <bottom style="thin"/>
    </border>
    <border>
      <left>
        <color indexed="63"/>
      </left>
      <right style="thin"/>
      <top>
        <color indexed="63"/>
      </top>
      <bottom style="double"/>
    </border>
    <border>
      <left style="double"/>
      <right>
        <color indexed="63"/>
      </right>
      <top style="hair">
        <color indexed="17"/>
      </top>
      <bottom>
        <color indexed="63"/>
      </bottom>
    </border>
    <border>
      <left>
        <color indexed="63"/>
      </left>
      <right>
        <color indexed="63"/>
      </right>
      <top style="hair">
        <color indexed="17"/>
      </top>
      <bottom>
        <color indexed="63"/>
      </bottom>
    </border>
    <border>
      <left style="double"/>
      <right>
        <color indexed="63"/>
      </right>
      <top>
        <color indexed="63"/>
      </top>
      <bottom>
        <color indexed="63"/>
      </bottom>
    </border>
    <border>
      <left style="double"/>
      <right>
        <color indexed="63"/>
      </right>
      <top>
        <color indexed="63"/>
      </top>
      <bottom style="hair">
        <color indexed="17"/>
      </bottom>
    </border>
    <border>
      <left>
        <color indexed="63"/>
      </left>
      <right>
        <color indexed="63"/>
      </right>
      <top>
        <color indexed="63"/>
      </top>
      <bottom style="hair">
        <color indexed="17"/>
      </bottom>
    </border>
    <border>
      <left style="medium"/>
      <right>
        <color indexed="63"/>
      </right>
      <top>
        <color indexed="63"/>
      </top>
      <bottom style="thin"/>
    </border>
    <border>
      <left style="medium"/>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color indexed="12"/>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style="thin"/>
    </border>
    <border>
      <left style="medium"/>
      <right style="double"/>
      <top>
        <color indexed="63"/>
      </top>
      <bottom style="thin"/>
    </border>
    <border>
      <left style="medium"/>
      <right style="medium"/>
      <top>
        <color indexed="63"/>
      </top>
      <bottom>
        <color indexed="63"/>
      </bottom>
    </border>
    <border>
      <left style="medium"/>
      <right style="medium"/>
      <top>
        <color indexed="63"/>
      </top>
      <bottom style="thin"/>
    </border>
    <border>
      <left style="medium"/>
      <right style="double"/>
      <top style="thin"/>
      <bottom style="thin"/>
    </border>
    <border>
      <left style="thin"/>
      <right style="thin"/>
      <top>
        <color indexed="63"/>
      </top>
      <bottom style="double"/>
    </border>
    <border>
      <left>
        <color indexed="63"/>
      </left>
      <right style="thin"/>
      <top style="thin"/>
      <bottom style="double"/>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double"/>
      <top style="thin"/>
      <bottom style="medium"/>
    </border>
    <border>
      <left style="thin"/>
      <right style="thin"/>
      <top style="double"/>
      <bottom style="thin"/>
    </border>
    <border>
      <left style="double"/>
      <right style="medium"/>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double"/>
      <top>
        <color indexed="63"/>
      </top>
      <bottom>
        <color indexed="63"/>
      </bottom>
    </border>
    <border>
      <left style="double"/>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medium"/>
      <top style="thin"/>
      <bottom style="mediu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medium"/>
      <top style="thin"/>
      <bottom style="thin"/>
    </border>
    <border>
      <left style="medium"/>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style="medium"/>
      <right style="thin"/>
      <top>
        <color indexed="63"/>
      </top>
      <bottom style="medium"/>
    </border>
    <border>
      <left style="thin"/>
      <right style="double"/>
      <top style="thin"/>
      <bottom style="thin"/>
    </border>
    <border>
      <left style="thin"/>
      <right style="double"/>
      <top style="thin"/>
      <bottom style="medium"/>
    </border>
    <border>
      <left style="medium"/>
      <right style="medium"/>
      <top style="medium"/>
      <bottom style="thin"/>
    </border>
    <border>
      <left style="thin"/>
      <right style="medium"/>
      <top>
        <color indexed="63"/>
      </top>
      <bottom>
        <color indexed="63"/>
      </bottom>
    </border>
    <border>
      <left style="double"/>
      <right>
        <color indexed="63"/>
      </right>
      <top>
        <color indexed="63"/>
      </top>
      <bottom style="thin"/>
    </border>
    <border>
      <left style="thin"/>
      <right style="thick"/>
      <top style="medium"/>
      <bottom style="thin"/>
    </border>
    <border>
      <left>
        <color indexed="63"/>
      </left>
      <right style="thick"/>
      <top>
        <color indexed="63"/>
      </top>
      <bottom style="thin"/>
    </border>
    <border>
      <left style="thin"/>
      <right style="thick"/>
      <top style="thin"/>
      <bottom style="thin"/>
    </border>
    <border>
      <left style="thin"/>
      <right style="thick"/>
      <top style="thin"/>
      <bottom style="medium"/>
    </border>
    <border>
      <left>
        <color indexed="63"/>
      </left>
      <right style="thin"/>
      <top>
        <color indexed="63"/>
      </top>
      <bottom style="medium"/>
    </border>
    <border>
      <left style="medium"/>
      <right style="medium"/>
      <top style="thin"/>
      <bottom style="medium"/>
    </border>
    <border>
      <left style="hair">
        <color indexed="17"/>
      </left>
      <right>
        <color indexed="63"/>
      </right>
      <top style="hair">
        <color indexed="17"/>
      </top>
      <bottom style="hair">
        <color indexed="17"/>
      </bottom>
    </border>
    <border>
      <left>
        <color indexed="63"/>
      </left>
      <right>
        <color indexed="63"/>
      </right>
      <top style="hair">
        <color indexed="17"/>
      </top>
      <bottom style="hair">
        <color indexed="17"/>
      </bottom>
    </border>
    <border>
      <left>
        <color indexed="63"/>
      </left>
      <right style="hair">
        <color indexed="17"/>
      </right>
      <top style="hair">
        <color indexed="17"/>
      </top>
      <bottom style="hair">
        <color indexed="17"/>
      </bottom>
    </border>
    <border>
      <left style="hair">
        <color indexed="17"/>
      </left>
      <right>
        <color indexed="63"/>
      </right>
      <top style="hair">
        <color indexed="17"/>
      </top>
      <bottom>
        <color indexed="63"/>
      </bottom>
    </border>
    <border>
      <left>
        <color indexed="63"/>
      </left>
      <right style="hair">
        <color indexed="17"/>
      </right>
      <top style="hair">
        <color indexed="17"/>
      </top>
      <bottom>
        <color indexed="63"/>
      </bottom>
    </border>
    <border>
      <left style="hair">
        <color indexed="17"/>
      </left>
      <right>
        <color indexed="63"/>
      </right>
      <top>
        <color indexed="63"/>
      </top>
      <bottom style="hair">
        <color indexed="17"/>
      </bottom>
    </border>
    <border>
      <left>
        <color indexed="63"/>
      </left>
      <right style="hair">
        <color indexed="17"/>
      </right>
      <top>
        <color indexed="63"/>
      </top>
      <bottom style="hair">
        <color indexed="17"/>
      </bottom>
    </border>
    <border>
      <left style="thin"/>
      <right style="thick"/>
      <top style="medium"/>
      <bottom style="medium"/>
    </border>
    <border>
      <left style="thin"/>
      <right style="thick"/>
      <top>
        <color indexed="63"/>
      </top>
      <bottom style="thin"/>
    </border>
    <border>
      <left style="thin"/>
      <right style="thick"/>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style="thin"/>
      <right>
        <color indexed="63"/>
      </right>
      <top style="double"/>
      <bottom>
        <color indexed="63"/>
      </bottom>
    </border>
    <border>
      <left>
        <color indexed="63"/>
      </left>
      <right style="thin"/>
      <top style="double"/>
      <bottom>
        <color indexed="63"/>
      </bottom>
    </border>
    <border>
      <left style="thin"/>
      <right style="double"/>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double"/>
      <right style="medium"/>
      <top style="thin"/>
      <bottom style="thin"/>
    </border>
    <border>
      <left>
        <color indexed="63"/>
      </left>
      <right style="medium"/>
      <top style="thin"/>
      <bottom style="thin"/>
    </border>
    <border>
      <left>
        <color indexed="63"/>
      </left>
      <right style="medium"/>
      <top style="thin"/>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medium"/>
      <right style="thin"/>
      <top style="thin"/>
      <bottom/>
    </border>
    <border>
      <left/>
      <right style="medium"/>
      <top style="thin"/>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color indexed="63"/>
      </left>
      <right style="thin"/>
      <top style="medium"/>
      <bottom style="medium"/>
    </border>
    <border>
      <left/>
      <right style="medium"/>
      <top/>
      <bottom style="thin"/>
    </border>
    <border>
      <left>
        <color indexed="63"/>
      </left>
      <right>
        <color indexed="63"/>
      </right>
      <top style="hair">
        <color indexed="17"/>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color indexed="12"/>
      </left>
      <right>
        <color indexed="63"/>
      </right>
      <top>
        <color indexed="63"/>
      </top>
      <bottom style="medium">
        <color indexed="12"/>
      </bottom>
    </border>
    <border>
      <left>
        <color indexed="63"/>
      </left>
      <right style="medium">
        <color indexed="12"/>
      </right>
      <top>
        <color indexed="63"/>
      </top>
      <bottom style="medium">
        <color indexed="1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6"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974">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Alignment="1">
      <alignment wrapText="1"/>
    </xf>
    <xf numFmtId="0" fontId="0" fillId="0" borderId="0" xfId="0" applyAlignment="1">
      <alignment horizontal="right"/>
    </xf>
    <xf numFmtId="0" fontId="0" fillId="33"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10" fontId="0" fillId="0" borderId="0" xfId="64" applyNumberFormat="1" applyFont="1" applyAlignment="1">
      <alignment/>
    </xf>
    <xf numFmtId="44" fontId="0" fillId="0" borderId="0" xfId="0" applyNumberFormat="1" applyAlignment="1">
      <alignment/>
    </xf>
    <xf numFmtId="10" fontId="0" fillId="0" borderId="0" xfId="0" applyNumberFormat="1" applyAlignment="1" applyProtection="1">
      <alignment/>
      <protection/>
    </xf>
    <xf numFmtId="0" fontId="1" fillId="0" borderId="0" xfId="0" applyFont="1" applyAlignment="1">
      <alignment horizontal="center"/>
    </xf>
    <xf numFmtId="0" fontId="0" fillId="0" borderId="0" xfId="0" applyBorder="1" applyAlignment="1" applyProtection="1">
      <alignment horizontal="center"/>
      <protection locked="0"/>
    </xf>
    <xf numFmtId="0" fontId="0" fillId="0" borderId="0" xfId="0" applyAlignment="1" applyProtection="1">
      <alignment/>
      <protection locked="0"/>
    </xf>
    <xf numFmtId="0" fontId="1" fillId="0" borderId="0" xfId="0" applyFont="1" applyBorder="1" applyAlignment="1" applyProtection="1">
      <alignment/>
      <protection locked="0"/>
    </xf>
    <xf numFmtId="0" fontId="4" fillId="0" borderId="0" xfId="0" applyFont="1" applyBorder="1" applyAlignment="1" applyProtection="1">
      <alignment/>
      <protection locked="0"/>
    </xf>
    <xf numFmtId="2" fontId="0" fillId="0" borderId="0" xfId="0" applyNumberFormat="1" applyFont="1" applyBorder="1" applyAlignment="1" applyProtection="1">
      <alignment/>
      <protection locked="0"/>
    </xf>
    <xf numFmtId="164" fontId="1" fillId="0" borderId="0" xfId="0" applyNumberFormat="1" applyFont="1" applyBorder="1" applyAlignment="1" applyProtection="1">
      <alignment/>
      <protection locked="0"/>
    </xf>
    <xf numFmtId="2" fontId="1" fillId="0" borderId="0" xfId="0" applyNumberFormat="1" applyFont="1" applyBorder="1" applyAlignment="1" applyProtection="1">
      <alignment horizontal="right"/>
      <protection locked="0"/>
    </xf>
    <xf numFmtId="0" fontId="0" fillId="0" borderId="0" xfId="0" applyBorder="1" applyAlignment="1" applyProtection="1">
      <alignment/>
      <protection locked="0"/>
    </xf>
    <xf numFmtId="164" fontId="0" fillId="0" borderId="0" xfId="0" applyNumberFormat="1" applyBorder="1" applyAlignment="1" applyProtection="1">
      <alignment/>
      <protection locked="0"/>
    </xf>
    <xf numFmtId="0" fontId="1" fillId="0" borderId="14" xfId="0" applyFont="1" applyBorder="1" applyAlignment="1" applyProtection="1">
      <alignment horizontal="centerContinuous"/>
      <protection locked="0"/>
    </xf>
    <xf numFmtId="0" fontId="0" fillId="0" borderId="0" xfId="0" applyAlignment="1" applyProtection="1">
      <alignment horizontal="center"/>
      <protection locked="0"/>
    </xf>
    <xf numFmtId="2" fontId="0" fillId="0" borderId="0" xfId="0" applyNumberFormat="1" applyAlignment="1" applyProtection="1">
      <alignment/>
      <protection locked="0"/>
    </xf>
    <xf numFmtId="0" fontId="0" fillId="0" borderId="0" xfId="0" applyBorder="1" applyAlignment="1" applyProtection="1">
      <alignment horizontal="left"/>
      <protection locked="0"/>
    </xf>
    <xf numFmtId="0" fontId="15"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164" fontId="8" fillId="0" borderId="0" xfId="0" applyNumberFormat="1" applyFont="1" applyBorder="1" applyAlignment="1" applyProtection="1">
      <alignment/>
      <protection locked="0"/>
    </xf>
    <xf numFmtId="0" fontId="1" fillId="0" borderId="0" xfId="0" applyFont="1" applyBorder="1" applyAlignment="1" applyProtection="1">
      <alignment horizontal="centerContinuous"/>
      <protection locked="0"/>
    </xf>
    <xf numFmtId="10" fontId="0" fillId="0" borderId="0" xfId="0" applyNumberFormat="1" applyBorder="1" applyAlignment="1" applyProtection="1">
      <alignment/>
      <protection locked="0"/>
    </xf>
    <xf numFmtId="0" fontId="0" fillId="0" borderId="0" xfId="0" applyBorder="1" applyAlignment="1" applyProtection="1">
      <alignment horizontal="right"/>
      <protection locked="0"/>
    </xf>
    <xf numFmtId="164" fontId="0" fillId="0" borderId="15" xfId="0" applyNumberFormat="1" applyBorder="1" applyAlignment="1" applyProtection="1">
      <alignment horizontal="center" wrapText="1"/>
      <protection locked="0"/>
    </xf>
    <xf numFmtId="1" fontId="0" fillId="0" borderId="0" xfId="0" applyNumberFormat="1" applyBorder="1" applyAlignment="1" applyProtection="1">
      <alignment/>
      <protection locked="0"/>
    </xf>
    <xf numFmtId="2" fontId="0" fillId="0" borderId="0" xfId="0" applyNumberFormat="1" applyBorder="1" applyAlignment="1" applyProtection="1">
      <alignment/>
      <protection locked="0"/>
    </xf>
    <xf numFmtId="3" fontId="0" fillId="0" borderId="0" xfId="0" applyNumberFormat="1" applyBorder="1" applyAlignment="1" applyProtection="1">
      <alignment horizontal="center"/>
      <protection locked="0"/>
    </xf>
    <xf numFmtId="4" fontId="1" fillId="0" borderId="0" xfId="0" applyNumberFormat="1" applyFont="1" applyBorder="1" applyAlignment="1" applyProtection="1">
      <alignment/>
      <protection locked="0"/>
    </xf>
    <xf numFmtId="164" fontId="0" fillId="0" borderId="15" xfId="0" applyNumberFormat="1" applyBorder="1" applyAlignment="1" applyProtection="1">
      <alignment horizontal="center"/>
      <protection locked="0"/>
    </xf>
    <xf numFmtId="0" fontId="0" fillId="0" borderId="0" xfId="0" applyBorder="1" applyAlignment="1" applyProtection="1">
      <alignment horizontal="centerContinuous"/>
      <protection locked="0"/>
    </xf>
    <xf numFmtId="1" fontId="0" fillId="0" borderId="0" xfId="0" applyNumberFormat="1" applyBorder="1" applyAlignment="1" applyProtection="1">
      <alignment horizontal="center"/>
      <protection locked="0"/>
    </xf>
    <xf numFmtId="164" fontId="0" fillId="0" borderId="0" xfId="0" applyNumberFormat="1" applyBorder="1" applyAlignment="1" applyProtection="1">
      <alignment horizontal="center"/>
      <protection locked="0"/>
    </xf>
    <xf numFmtId="0" fontId="0" fillId="33" borderId="0" xfId="0" applyFill="1" applyAlignment="1" applyProtection="1">
      <alignment horizontal="center"/>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64" fontId="0" fillId="0" borderId="0" xfId="0" applyNumberFormat="1" applyAlignment="1" applyProtection="1">
      <alignment/>
      <protection locked="0"/>
    </xf>
    <xf numFmtId="10" fontId="0" fillId="0" borderId="0" xfId="64" applyNumberFormat="1" applyFont="1" applyAlignment="1" applyProtection="1">
      <alignment/>
      <protection locked="0"/>
    </xf>
    <xf numFmtId="0" fontId="1" fillId="0" borderId="0" xfId="0" applyFont="1" applyAlignment="1">
      <alignment/>
    </xf>
    <xf numFmtId="194" fontId="0" fillId="0" borderId="0" xfId="45" applyNumberFormat="1" applyFont="1" applyAlignment="1">
      <alignment/>
    </xf>
    <xf numFmtId="0" fontId="1" fillId="0" borderId="0" xfId="0" applyNumberFormat="1" applyFont="1" applyBorder="1" applyAlignment="1" applyProtection="1">
      <alignment/>
      <protection locked="0"/>
    </xf>
    <xf numFmtId="0" fontId="0" fillId="0" borderId="16" xfId="0" applyBorder="1" applyAlignment="1">
      <alignment/>
    </xf>
    <xf numFmtId="192" fontId="0" fillId="0" borderId="0" xfId="0" applyNumberFormat="1" applyAlignment="1">
      <alignment horizontal="center"/>
    </xf>
    <xf numFmtId="10" fontId="0" fillId="0" borderId="0" xfId="64" applyNumberFormat="1" applyAlignment="1">
      <alignment/>
    </xf>
    <xf numFmtId="194" fontId="0" fillId="0" borderId="0" xfId="45" applyNumberFormat="1" applyAlignment="1">
      <alignment/>
    </xf>
    <xf numFmtId="10" fontId="0" fillId="33" borderId="0" xfId="0" applyNumberFormat="1" applyFill="1" applyAlignment="1" applyProtection="1">
      <alignment/>
      <protection/>
    </xf>
    <xf numFmtId="0" fontId="0" fillId="33" borderId="0" xfId="0" applyFill="1" applyAlignment="1">
      <alignment horizontal="right"/>
    </xf>
    <xf numFmtId="0" fontId="1" fillId="0" borderId="0" xfId="0" applyFont="1" applyAlignment="1">
      <alignment horizontal="center" wrapText="1"/>
    </xf>
    <xf numFmtId="0" fontId="1" fillId="34" borderId="15" xfId="0" applyFont="1" applyFill="1" applyBorder="1" applyAlignment="1" applyProtection="1">
      <alignment/>
      <protection locked="0"/>
    </xf>
    <xf numFmtId="164" fontId="1" fillId="34" borderId="17" xfId="0" applyNumberFormat="1" applyFont="1" applyFill="1" applyBorder="1" applyAlignment="1" applyProtection="1">
      <alignment horizontal="center"/>
      <protection locked="0"/>
    </xf>
    <xf numFmtId="0" fontId="1" fillId="34" borderId="15" xfId="0" applyFont="1" applyFill="1" applyBorder="1" applyAlignment="1" applyProtection="1">
      <alignment horizontal="center"/>
      <protection locked="0"/>
    </xf>
    <xf numFmtId="164" fontId="1" fillId="34" borderId="18" xfId="0" applyNumberFormat="1" applyFont="1" applyFill="1" applyBorder="1" applyAlignment="1" applyProtection="1">
      <alignment horizontal="left"/>
      <protection locked="0"/>
    </xf>
    <xf numFmtId="186" fontId="1" fillId="34" borderId="15" xfId="0" applyNumberFormat="1" applyFont="1" applyFill="1" applyBorder="1" applyAlignment="1" applyProtection="1">
      <alignment horizontal="left"/>
      <protection locked="0"/>
    </xf>
    <xf numFmtId="0" fontId="1" fillId="34" borderId="15" xfId="0" applyFont="1" applyFill="1" applyBorder="1" applyAlignment="1" applyProtection="1">
      <alignment horizontal="left"/>
      <protection locked="0"/>
    </xf>
    <xf numFmtId="0" fontId="1" fillId="34" borderId="19" xfId="0" applyFont="1" applyFill="1" applyBorder="1" applyAlignment="1" applyProtection="1">
      <alignment horizontal="left"/>
      <protection locked="0"/>
    </xf>
    <xf numFmtId="3" fontId="1" fillId="34" borderId="15" xfId="0" applyNumberFormat="1" applyFont="1" applyFill="1" applyBorder="1" applyAlignment="1" applyProtection="1">
      <alignment/>
      <protection locked="0"/>
    </xf>
    <xf numFmtId="0" fontId="0" fillId="34" borderId="0" xfId="0" applyFont="1" applyFill="1" applyBorder="1" applyAlignment="1" applyProtection="1">
      <alignment horizontal="left" vertical="top" wrapText="1"/>
      <protection locked="0"/>
    </xf>
    <xf numFmtId="3" fontId="0" fillId="34" borderId="20" xfId="0" applyNumberFormat="1" applyFont="1" applyFill="1" applyBorder="1" applyAlignment="1" applyProtection="1">
      <alignment horizontal="center"/>
      <protection locked="0"/>
    </xf>
    <xf numFmtId="3" fontId="0" fillId="34" borderId="20" xfId="0" applyNumberFormat="1" applyFill="1" applyBorder="1" applyAlignment="1" applyProtection="1">
      <alignment/>
      <protection locked="0"/>
    </xf>
    <xf numFmtId="3" fontId="0" fillId="34" borderId="21" xfId="0" applyNumberFormat="1" applyFill="1" applyBorder="1" applyAlignment="1" applyProtection="1">
      <alignment/>
      <protection locked="0"/>
    </xf>
    <xf numFmtId="3" fontId="1" fillId="34" borderId="15" xfId="0" applyNumberFormat="1" applyFont="1" applyFill="1" applyBorder="1" applyAlignment="1" applyProtection="1">
      <alignment/>
      <protection locked="0"/>
    </xf>
    <xf numFmtId="0" fontId="1" fillId="34" borderId="15" xfId="0" applyFont="1" applyFill="1" applyBorder="1" applyAlignment="1" applyProtection="1">
      <alignment/>
      <protection locked="0"/>
    </xf>
    <xf numFmtId="0" fontId="4" fillId="34" borderId="15" xfId="0" applyFont="1" applyFill="1" applyBorder="1" applyAlignment="1" applyProtection="1">
      <alignment/>
      <protection locked="0"/>
    </xf>
    <xf numFmtId="0" fontId="0" fillId="34" borderId="22" xfId="0" applyFont="1" applyFill="1" applyBorder="1" applyAlignment="1" applyProtection="1">
      <alignment horizontal="left" vertical="top" wrapText="1"/>
      <protection locked="0"/>
    </xf>
    <xf numFmtId="0" fontId="0" fillId="34" borderId="23" xfId="0" applyFont="1" applyFill="1" applyBorder="1" applyAlignment="1" applyProtection="1">
      <alignment horizontal="left" vertical="top" wrapText="1"/>
      <protection locked="0"/>
    </xf>
    <xf numFmtId="0" fontId="0" fillId="34" borderId="24" xfId="0" applyFont="1" applyFill="1" applyBorder="1" applyAlignment="1" applyProtection="1">
      <alignment horizontal="left" vertical="top" wrapText="1"/>
      <protection locked="0"/>
    </xf>
    <xf numFmtId="0" fontId="0" fillId="34" borderId="25" xfId="0" applyFont="1" applyFill="1" applyBorder="1" applyAlignment="1" applyProtection="1">
      <alignment horizontal="left" vertical="top" wrapText="1"/>
      <protection locked="0"/>
    </xf>
    <xf numFmtId="0" fontId="0" fillId="34" borderId="26" xfId="0" applyFont="1" applyFill="1" applyBorder="1" applyAlignment="1" applyProtection="1">
      <alignment horizontal="left" vertical="top" wrapText="1"/>
      <protection locked="0"/>
    </xf>
    <xf numFmtId="0" fontId="0" fillId="34" borderId="0" xfId="0" applyFill="1" applyAlignment="1">
      <alignment/>
    </xf>
    <xf numFmtId="0" fontId="20" fillId="34" borderId="0" xfId="56" applyFont="1" applyFill="1" applyBorder="1" applyAlignment="1" applyProtection="1">
      <alignment/>
      <protection/>
    </xf>
    <xf numFmtId="0" fontId="0" fillId="34" borderId="0" xfId="0" applyFill="1" applyBorder="1" applyAlignment="1">
      <alignment/>
    </xf>
    <xf numFmtId="0" fontId="8" fillId="34" borderId="0" xfId="0" applyFont="1" applyFill="1" applyBorder="1" applyAlignment="1">
      <alignment vertical="top" wrapText="1"/>
    </xf>
    <xf numFmtId="0" fontId="7" fillId="34" borderId="0" xfId="0" applyFont="1" applyFill="1" applyAlignment="1">
      <alignment wrapText="1"/>
    </xf>
    <xf numFmtId="0" fontId="16" fillId="34" borderId="0" xfId="56" applyFont="1" applyFill="1" applyAlignment="1" applyProtection="1">
      <alignment vertical="top" wrapText="1"/>
      <protection/>
    </xf>
    <xf numFmtId="0" fontId="16" fillId="34" borderId="0" xfId="56" applyFill="1" applyAlignment="1" applyProtection="1">
      <alignment vertical="top" wrapText="1"/>
      <protection/>
    </xf>
    <xf numFmtId="0" fontId="0" fillId="34" borderId="0" xfId="0" applyFill="1" applyAlignment="1">
      <alignment vertical="top"/>
    </xf>
    <xf numFmtId="0" fontId="0" fillId="34" borderId="0" xfId="0" applyFill="1" applyAlignment="1">
      <alignment/>
    </xf>
    <xf numFmtId="0" fontId="21" fillId="34" borderId="0" xfId="56" applyFont="1" applyFill="1" applyBorder="1" applyAlignment="1" applyProtection="1">
      <alignment horizontal="left" vertical="center"/>
      <protection/>
    </xf>
    <xf numFmtId="0" fontId="21" fillId="34" borderId="0" xfId="56" applyFont="1" applyFill="1" applyBorder="1" applyAlignment="1" applyProtection="1">
      <alignment/>
      <protection/>
    </xf>
    <xf numFmtId="0" fontId="22" fillId="34" borderId="0" xfId="0" applyFont="1" applyFill="1" applyBorder="1" applyAlignment="1">
      <alignment horizontal="left" vertical="center"/>
    </xf>
    <xf numFmtId="0" fontId="18" fillId="34" borderId="0" xfId="0" applyFont="1" applyFill="1" applyBorder="1" applyAlignment="1">
      <alignment horizontal="left" vertical="center" wrapText="1"/>
    </xf>
    <xf numFmtId="0" fontId="0" fillId="34" borderId="0" xfId="0" applyFill="1" applyBorder="1" applyAlignment="1">
      <alignment/>
    </xf>
    <xf numFmtId="171" fontId="1" fillId="34" borderId="19" xfId="42" applyNumberFormat="1" applyFont="1" applyFill="1" applyBorder="1" applyAlignment="1" applyProtection="1">
      <alignment horizontal="left"/>
      <protection locked="0"/>
    </xf>
    <xf numFmtId="43" fontId="1" fillId="34" borderId="27" xfId="42" applyNumberFormat="1" applyFont="1" applyFill="1" applyBorder="1" applyAlignment="1" applyProtection="1">
      <alignment horizontal="right"/>
      <protection locked="0"/>
    </xf>
    <xf numFmtId="43" fontId="1" fillId="34" borderId="15" xfId="42" applyNumberFormat="1" applyFont="1" applyFill="1" applyBorder="1" applyAlignment="1" applyProtection="1">
      <alignment horizontal="right"/>
      <protection locked="0"/>
    </xf>
    <xf numFmtId="43" fontId="1" fillId="34" borderId="28" xfId="42" applyNumberFormat="1" applyFont="1" applyFill="1" applyBorder="1" applyAlignment="1" applyProtection="1">
      <alignment horizontal="right"/>
      <protection locked="0"/>
    </xf>
    <xf numFmtId="0" fontId="7" fillId="34" borderId="0" xfId="0" applyFont="1" applyFill="1" applyBorder="1" applyAlignment="1">
      <alignment vertical="top" wrapText="1"/>
    </xf>
    <xf numFmtId="0" fontId="0" fillId="34" borderId="0" xfId="0" applyFill="1" applyBorder="1" applyAlignment="1">
      <alignment horizontal="left" vertical="center"/>
    </xf>
    <xf numFmtId="0" fontId="10" fillId="34" borderId="0" xfId="0" applyFont="1" applyFill="1" applyBorder="1" applyAlignment="1">
      <alignment horizontal="center" vertical="center"/>
    </xf>
    <xf numFmtId="0" fontId="1" fillId="0" borderId="15"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0" xfId="0" applyFont="1" applyFill="1" applyBorder="1" applyAlignment="1" applyProtection="1">
      <alignment horizontal="centerContinuous"/>
      <protection locked="0"/>
    </xf>
    <xf numFmtId="0" fontId="5" fillId="0" borderId="0" xfId="0" applyFont="1" applyAlignment="1" applyProtection="1">
      <alignment shrinkToFit="1"/>
      <protection locked="0"/>
    </xf>
    <xf numFmtId="0" fontId="0" fillId="0" borderId="0" xfId="0" applyBorder="1" applyAlignment="1" applyProtection="1">
      <alignment shrinkToFit="1"/>
      <protection locked="0"/>
    </xf>
    <xf numFmtId="0" fontId="0" fillId="35" borderId="15" xfId="0" applyFill="1" applyBorder="1" applyAlignment="1" applyProtection="1">
      <alignment/>
      <protection locked="0"/>
    </xf>
    <xf numFmtId="3" fontId="0" fillId="0" borderId="0" xfId="0" applyNumberFormat="1" applyBorder="1" applyAlignment="1" applyProtection="1">
      <alignment/>
      <protection locked="0"/>
    </xf>
    <xf numFmtId="3" fontId="1" fillId="0" borderId="0" xfId="0" applyNumberFormat="1" applyFont="1" applyBorder="1" applyAlignment="1" applyProtection="1">
      <alignment/>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protection locked="0"/>
    </xf>
    <xf numFmtId="0" fontId="5" fillId="0" borderId="0" xfId="0" applyFont="1" applyBorder="1" applyAlignment="1" applyProtection="1" quotePrefix="1">
      <alignment horizontal="center"/>
      <protection locked="0"/>
    </xf>
    <xf numFmtId="0" fontId="5" fillId="0" borderId="0" xfId="0" applyFont="1" applyBorder="1" applyAlignment="1" applyProtection="1" quotePrefix="1">
      <alignment horizontal="right"/>
      <protection locked="0"/>
    </xf>
    <xf numFmtId="0" fontId="5" fillId="0" borderId="0" xfId="0" applyFont="1" applyBorder="1" applyAlignment="1" applyProtection="1">
      <alignment horizontal="right"/>
      <protection locked="0"/>
    </xf>
    <xf numFmtId="169" fontId="1" fillId="0" borderId="0" xfId="0" applyNumberFormat="1" applyFont="1" applyBorder="1" applyAlignment="1" applyProtection="1">
      <alignment/>
      <protection locked="0"/>
    </xf>
    <xf numFmtId="164" fontId="0" fillId="36" borderId="0" xfId="0" applyNumberFormat="1" applyFill="1" applyBorder="1" applyAlignment="1" applyProtection="1">
      <alignment/>
      <protection locked="0"/>
    </xf>
    <xf numFmtId="43" fontId="0" fillId="0" borderId="0" xfId="42" applyFont="1" applyBorder="1" applyAlignment="1" applyProtection="1">
      <alignment/>
      <protection locked="0"/>
    </xf>
    <xf numFmtId="0" fontId="30" fillId="0" borderId="0" xfId="0" applyFont="1" applyAlignment="1">
      <alignment/>
    </xf>
    <xf numFmtId="0" fontId="22" fillId="0" borderId="0" xfId="0" applyFont="1" applyAlignment="1">
      <alignment/>
    </xf>
    <xf numFmtId="0" fontId="0" fillId="0" borderId="0" xfId="0" applyAlignment="1">
      <alignment horizontal="center" wrapText="1"/>
    </xf>
    <xf numFmtId="0" fontId="0" fillId="34" borderId="0" xfId="0" applyFill="1" applyBorder="1" applyAlignment="1">
      <alignment horizontal="left" vertical="top" wrapText="1"/>
    </xf>
    <xf numFmtId="0" fontId="0" fillId="34" borderId="0" xfId="0" applyFill="1" applyBorder="1" applyAlignment="1">
      <alignment vertical="top" wrapText="1"/>
    </xf>
    <xf numFmtId="0" fontId="0" fillId="34" borderId="29" xfId="0" applyFill="1" applyBorder="1" applyAlignment="1">
      <alignment/>
    </xf>
    <xf numFmtId="0" fontId="18" fillId="34" borderId="0" xfId="0" applyFont="1" applyFill="1" applyBorder="1" applyAlignment="1">
      <alignment horizontal="left" vertical="top" wrapText="1"/>
    </xf>
    <xf numFmtId="0" fontId="0" fillId="34" borderId="29" xfId="0" applyFill="1" applyBorder="1" applyAlignment="1">
      <alignment vertical="top" wrapText="1"/>
    </xf>
    <xf numFmtId="0" fontId="0" fillId="34" borderId="0" xfId="0" applyFill="1" applyBorder="1" applyAlignment="1">
      <alignment horizontal="center" vertical="center" wrapText="1"/>
    </xf>
    <xf numFmtId="0" fontId="0" fillId="34" borderId="29" xfId="0" applyFill="1" applyBorder="1" applyAlignment="1">
      <alignment wrapText="1"/>
    </xf>
    <xf numFmtId="0" fontId="19" fillId="34" borderId="30" xfId="0" applyFont="1" applyFill="1" applyBorder="1" applyAlignment="1">
      <alignment/>
    </xf>
    <xf numFmtId="0" fontId="19" fillId="34" borderId="0" xfId="0" applyFont="1" applyFill="1" applyBorder="1" applyAlignment="1">
      <alignment/>
    </xf>
    <xf numFmtId="0" fontId="19" fillId="34" borderId="29" xfId="0" applyFont="1" applyFill="1" applyBorder="1" applyAlignment="1">
      <alignment wrapText="1"/>
    </xf>
    <xf numFmtId="0" fontId="10" fillId="34" borderId="31" xfId="0" applyFont="1" applyFill="1" applyBorder="1" applyAlignment="1">
      <alignment horizontal="center" vertical="center"/>
    </xf>
    <xf numFmtId="0" fontId="16" fillId="34" borderId="0" xfId="56" applyFill="1" applyBorder="1" applyAlignment="1" applyProtection="1">
      <alignment horizontal="left" vertical="center" wrapText="1"/>
      <protection/>
    </xf>
    <xf numFmtId="0" fontId="19" fillId="34" borderId="32" xfId="0" applyFont="1" applyFill="1" applyBorder="1" applyAlignment="1">
      <alignment/>
    </xf>
    <xf numFmtId="0" fontId="16" fillId="34" borderId="33" xfId="56" applyFill="1" applyBorder="1" applyAlignment="1" applyProtection="1">
      <alignment horizontal="left" vertical="center" wrapText="1"/>
      <protection/>
    </xf>
    <xf numFmtId="0" fontId="19" fillId="34" borderId="34" xfId="0" applyFont="1" applyFill="1" applyBorder="1" applyAlignment="1">
      <alignment wrapText="1"/>
    </xf>
    <xf numFmtId="0" fontId="10" fillId="34" borderId="30" xfId="0" applyFont="1" applyFill="1" applyBorder="1" applyAlignment="1">
      <alignment horizontal="center" vertical="center"/>
    </xf>
    <xf numFmtId="0" fontId="16" fillId="34" borderId="35" xfId="56" applyFill="1" applyBorder="1" applyAlignment="1" applyProtection="1">
      <alignment horizontal="left" vertical="center" wrapText="1"/>
      <protection/>
    </xf>
    <xf numFmtId="0" fontId="10" fillId="34" borderId="36" xfId="0" applyFont="1" applyFill="1" applyBorder="1" applyAlignment="1">
      <alignment horizontal="center" vertical="center"/>
    </xf>
    <xf numFmtId="0" fontId="16" fillId="34" borderId="30" xfId="56" applyFill="1" applyBorder="1" applyAlignment="1" applyProtection="1">
      <alignment horizontal="left" vertical="center" wrapText="1"/>
      <protection/>
    </xf>
    <xf numFmtId="0" fontId="0" fillId="34" borderId="35" xfId="0" applyFill="1" applyBorder="1" applyAlignment="1">
      <alignment vertical="center" wrapText="1"/>
    </xf>
    <xf numFmtId="0" fontId="10" fillId="34" borderId="17" xfId="0" applyFont="1" applyFill="1" applyBorder="1" applyAlignment="1">
      <alignment horizontal="center" vertical="center"/>
    </xf>
    <xf numFmtId="0" fontId="16" fillId="34" borderId="20" xfId="56" applyFill="1" applyBorder="1" applyAlignment="1" applyProtection="1">
      <alignment horizontal="left" vertical="center" wrapText="1"/>
      <protection/>
    </xf>
    <xf numFmtId="0" fontId="10" fillId="34" borderId="37" xfId="0" applyFont="1" applyFill="1" applyBorder="1" applyAlignment="1">
      <alignment horizontal="center" vertical="center"/>
    </xf>
    <xf numFmtId="0" fontId="16" fillId="34" borderId="17" xfId="56" applyFill="1" applyBorder="1" applyAlignment="1" applyProtection="1">
      <alignment horizontal="left" vertical="center" wrapText="1"/>
      <protection/>
    </xf>
    <xf numFmtId="0" fontId="0" fillId="34" borderId="20" xfId="0" applyFill="1" applyBorder="1" applyAlignment="1">
      <alignment horizontal="left" vertical="center" wrapText="1"/>
    </xf>
    <xf numFmtId="0" fontId="10" fillId="34" borderId="32" xfId="0" applyFont="1" applyFill="1" applyBorder="1" applyAlignment="1">
      <alignment horizontal="center" vertical="center" wrapText="1"/>
    </xf>
    <xf numFmtId="0" fontId="16" fillId="34" borderId="34" xfId="56" applyFill="1" applyBorder="1" applyAlignment="1" applyProtection="1">
      <alignment horizontal="left" vertical="center" wrapText="1"/>
      <protection/>
    </xf>
    <xf numFmtId="0" fontId="10" fillId="34" borderId="34" xfId="0" applyFont="1" applyFill="1" applyBorder="1" applyAlignment="1">
      <alignment horizontal="center" vertical="center" wrapText="1"/>
    </xf>
    <xf numFmtId="0" fontId="10" fillId="34" borderId="36" xfId="0" applyFont="1" applyFill="1" applyBorder="1" applyAlignment="1">
      <alignment horizontal="center" vertical="center" wrapText="1"/>
    </xf>
    <xf numFmtId="0" fontId="16" fillId="34" borderId="35" xfId="56" applyFont="1" applyFill="1" applyBorder="1" applyAlignment="1" applyProtection="1">
      <alignment horizontal="left" vertical="center" wrapText="1"/>
      <protection/>
    </xf>
    <xf numFmtId="0" fontId="6" fillId="34" borderId="35" xfId="0" applyFont="1" applyFill="1" applyBorder="1" applyAlignment="1">
      <alignment wrapText="1"/>
    </xf>
    <xf numFmtId="0" fontId="0" fillId="34" borderId="36" xfId="0" applyFill="1" applyBorder="1" applyAlignment="1">
      <alignment/>
    </xf>
    <xf numFmtId="0" fontId="0" fillId="34" borderId="30" xfId="0" applyFill="1" applyBorder="1" applyAlignment="1">
      <alignment/>
    </xf>
    <xf numFmtId="0" fontId="0" fillId="34" borderId="35" xfId="0" applyFill="1" applyBorder="1" applyAlignment="1">
      <alignment/>
    </xf>
    <xf numFmtId="0" fontId="0" fillId="34" borderId="29" xfId="0" applyFill="1" applyBorder="1" applyAlignment="1">
      <alignment/>
    </xf>
    <xf numFmtId="0" fontId="6" fillId="34" borderId="0" xfId="0" applyFont="1" applyFill="1" applyBorder="1" applyAlignment="1">
      <alignment wrapText="1"/>
    </xf>
    <xf numFmtId="0" fontId="6" fillId="34" borderId="38" xfId="0" applyFont="1" applyFill="1" applyBorder="1" applyAlignment="1">
      <alignment wrapText="1"/>
    </xf>
    <xf numFmtId="0" fontId="0" fillId="34" borderId="39" xfId="0" applyFill="1" applyBorder="1" applyAlignment="1">
      <alignment/>
    </xf>
    <xf numFmtId="0" fontId="6" fillId="34" borderId="40" xfId="0" applyFont="1" applyFill="1" applyBorder="1" applyAlignment="1">
      <alignment wrapText="1"/>
    </xf>
    <xf numFmtId="0" fontId="0" fillId="34" borderId="40" xfId="0" applyFill="1" applyBorder="1" applyAlignment="1">
      <alignment vertical="top" wrapText="1"/>
    </xf>
    <xf numFmtId="0" fontId="0" fillId="34" borderId="40" xfId="0" applyFill="1" applyBorder="1" applyAlignment="1">
      <alignment vertical="top"/>
    </xf>
    <xf numFmtId="0" fontId="0" fillId="34" borderId="41" xfId="0" applyFill="1" applyBorder="1" applyAlignment="1">
      <alignment vertical="top"/>
    </xf>
    <xf numFmtId="0" fontId="0" fillId="34" borderId="42" xfId="0" applyFill="1" applyBorder="1" applyAlignment="1">
      <alignment vertical="top"/>
    </xf>
    <xf numFmtId="0" fontId="0" fillId="34" borderId="42" xfId="0" applyFill="1" applyBorder="1" applyAlignment="1">
      <alignment/>
    </xf>
    <xf numFmtId="0" fontId="0" fillId="34" borderId="43" xfId="0" applyFill="1" applyBorder="1" applyAlignment="1">
      <alignment vertical="top" wrapText="1"/>
    </xf>
    <xf numFmtId="0" fontId="0" fillId="34" borderId="42" xfId="0" applyFill="1" applyBorder="1" applyAlignment="1">
      <alignment vertical="top" wrapText="1"/>
    </xf>
    <xf numFmtId="0" fontId="0" fillId="34" borderId="42" xfId="0" applyFill="1" applyBorder="1" applyAlignment="1">
      <alignment wrapText="1"/>
    </xf>
    <xf numFmtId="0" fontId="0" fillId="34" borderId="43" xfId="0" applyFill="1" applyBorder="1" applyAlignment="1">
      <alignment/>
    </xf>
    <xf numFmtId="0" fontId="1" fillId="0" borderId="0" xfId="0" applyFont="1" applyFill="1" applyBorder="1" applyAlignment="1" applyProtection="1">
      <alignment/>
      <protection locked="0"/>
    </xf>
    <xf numFmtId="49" fontId="31" fillId="34" borderId="37" xfId="0" applyNumberFormat="1" applyFont="1" applyFill="1" applyBorder="1" applyAlignment="1" applyProtection="1">
      <alignment/>
      <protection locked="0"/>
    </xf>
    <xf numFmtId="49" fontId="31" fillId="34" borderId="37" xfId="0" applyNumberFormat="1" applyFont="1" applyFill="1" applyBorder="1" applyAlignment="1" applyProtection="1">
      <alignment horizontal="left"/>
      <protection locked="0"/>
    </xf>
    <xf numFmtId="0" fontId="31" fillId="34" borderId="37" xfId="0" applyFont="1" applyFill="1" applyBorder="1" applyAlignment="1" applyProtection="1">
      <alignment/>
      <protection locked="0"/>
    </xf>
    <xf numFmtId="0" fontId="12" fillId="0" borderId="0" xfId="0" applyFont="1" applyAlignment="1" applyProtection="1">
      <alignment horizontal="centerContinuous"/>
      <protection hidden="1"/>
    </xf>
    <xf numFmtId="0" fontId="13" fillId="0" borderId="0" xfId="0" applyFont="1" applyAlignment="1" applyProtection="1">
      <alignment horizontal="centerContinuous"/>
      <protection hidden="1"/>
    </xf>
    <xf numFmtId="0" fontId="1" fillId="0" borderId="0" xfId="0" applyFont="1" applyAlignment="1" applyProtection="1">
      <alignment horizontal="centerContinuous"/>
      <protection hidden="1"/>
    </xf>
    <xf numFmtId="0" fontId="14" fillId="0" borderId="0" xfId="0" applyFont="1" applyAlignment="1" applyProtection="1">
      <alignment horizontal="centerContinuous"/>
      <protection hidden="1"/>
    </xf>
    <xf numFmtId="0" fontId="0" fillId="0" borderId="0" xfId="0" applyBorder="1" applyAlignment="1" applyProtection="1">
      <alignment/>
      <protection hidden="1"/>
    </xf>
    <xf numFmtId="0" fontId="0" fillId="0" borderId="0" xfId="0" applyAlignment="1" applyProtection="1">
      <alignment/>
      <protection hidden="1"/>
    </xf>
    <xf numFmtId="0" fontId="16" fillId="0" borderId="0" xfId="56" applyAlignment="1" applyProtection="1">
      <alignment horizontal="center"/>
      <protection hidden="1"/>
    </xf>
    <xf numFmtId="0" fontId="0" fillId="0" borderId="44" xfId="0" applyBorder="1" applyAlignment="1" applyProtection="1">
      <alignment horizontal="center"/>
      <protection hidden="1"/>
    </xf>
    <xf numFmtId="0" fontId="0" fillId="0" borderId="45" xfId="0" applyBorder="1" applyAlignment="1" applyProtection="1">
      <alignment/>
      <protection hidden="1"/>
    </xf>
    <xf numFmtId="0" fontId="0" fillId="0" borderId="46" xfId="0" applyBorder="1" applyAlignment="1" applyProtection="1">
      <alignment/>
      <protection hidden="1"/>
    </xf>
    <xf numFmtId="0" fontId="0" fillId="0" borderId="24" xfId="0" applyBorder="1" applyAlignment="1" applyProtection="1">
      <alignment horizontal="center"/>
      <protection hidden="1"/>
    </xf>
    <xf numFmtId="0" fontId="10" fillId="0" borderId="0" xfId="0" applyFont="1" applyBorder="1" applyAlignment="1" applyProtection="1">
      <alignment/>
      <protection hidden="1"/>
    </xf>
    <xf numFmtId="49" fontId="25" fillId="34" borderId="20" xfId="0" applyNumberFormat="1" applyFont="1" applyFill="1" applyBorder="1" applyAlignment="1" applyProtection="1">
      <alignment/>
      <protection hidden="1"/>
    </xf>
    <xf numFmtId="0" fontId="16" fillId="0" borderId="0" xfId="56" applyBorder="1" applyAlignment="1" applyProtection="1">
      <alignment/>
      <protection hidden="1"/>
    </xf>
    <xf numFmtId="0" fontId="0" fillId="0" borderId="37" xfId="0" applyBorder="1" applyAlignment="1" applyProtection="1">
      <alignment/>
      <protection hidden="1"/>
    </xf>
    <xf numFmtId="0" fontId="0" fillId="0" borderId="17" xfId="0" applyBorder="1" applyAlignment="1" applyProtection="1">
      <alignment/>
      <protection hidden="1"/>
    </xf>
    <xf numFmtId="0" fontId="0" fillId="0" borderId="20" xfId="0" applyBorder="1" applyAlignment="1" applyProtection="1">
      <alignment horizontal="right"/>
      <protection hidden="1"/>
    </xf>
    <xf numFmtId="0" fontId="8" fillId="0" borderId="15" xfId="0" applyFont="1" applyBorder="1" applyAlignment="1" applyProtection="1">
      <alignment horizontal="right"/>
      <protection hidden="1"/>
    </xf>
    <xf numFmtId="3" fontId="0" fillId="0" borderId="20" xfId="0" applyNumberFormat="1" applyBorder="1" applyAlignment="1" applyProtection="1">
      <alignment horizontal="center"/>
      <protection hidden="1"/>
    </xf>
    <xf numFmtId="4" fontId="0" fillId="0" borderId="20" xfId="0" applyNumberFormat="1" applyBorder="1" applyAlignment="1" applyProtection="1">
      <alignment horizontal="left"/>
      <protection hidden="1"/>
    </xf>
    <xf numFmtId="0" fontId="0" fillId="0" borderId="47" xfId="0" applyBorder="1" applyAlignment="1" applyProtection="1">
      <alignment/>
      <protection hidden="1"/>
    </xf>
    <xf numFmtId="0" fontId="0" fillId="0" borderId="0" xfId="0" applyBorder="1" applyAlignment="1" applyProtection="1">
      <alignment horizontal="center"/>
      <protection hidden="1"/>
    </xf>
    <xf numFmtId="0" fontId="25" fillId="34" borderId="20" xfId="0" applyFont="1" applyFill="1" applyBorder="1" applyAlignment="1" applyProtection="1">
      <alignment/>
      <protection hidden="1"/>
    </xf>
    <xf numFmtId="0" fontId="1" fillId="0" borderId="0" xfId="0" applyFont="1" applyFill="1" applyBorder="1" applyAlignment="1" applyProtection="1">
      <alignment/>
      <protection hidden="1"/>
    </xf>
    <xf numFmtId="0" fontId="1" fillId="0" borderId="37" xfId="0" applyFont="1" applyBorder="1" applyAlignment="1" applyProtection="1">
      <alignment/>
      <protection hidden="1"/>
    </xf>
    <xf numFmtId="3" fontId="0" fillId="0" borderId="37" xfId="0" applyNumberFormat="1" applyBorder="1" applyAlignment="1" applyProtection="1">
      <alignment/>
      <protection hidden="1"/>
    </xf>
    <xf numFmtId="3" fontId="0" fillId="0" borderId="0" xfId="0" applyNumberFormat="1" applyBorder="1" applyAlignment="1" applyProtection="1">
      <alignment/>
      <protection hidden="1"/>
    </xf>
    <xf numFmtId="3" fontId="0" fillId="0" borderId="47" xfId="0" applyNumberFormat="1" applyBorder="1" applyAlignment="1" applyProtection="1">
      <alignment/>
      <protection hidden="1"/>
    </xf>
    <xf numFmtId="0" fontId="0" fillId="0" borderId="0" xfId="0" applyBorder="1" applyAlignment="1" applyProtection="1">
      <alignment horizontal="right"/>
      <protection hidden="1"/>
    </xf>
    <xf numFmtId="0" fontId="1" fillId="0" borderId="0" xfId="0" applyFont="1" applyBorder="1" applyAlignment="1" applyProtection="1">
      <alignment/>
      <protection hidden="1"/>
    </xf>
    <xf numFmtId="3" fontId="1" fillId="0" borderId="0" xfId="0" applyNumberFormat="1" applyFont="1" applyBorder="1" applyAlignment="1" applyProtection="1">
      <alignment/>
      <protection hidden="1"/>
    </xf>
    <xf numFmtId="0" fontId="1" fillId="37" borderId="0" xfId="0" applyFont="1" applyFill="1" applyBorder="1" applyAlignment="1" applyProtection="1">
      <alignment/>
      <protection hidden="1"/>
    </xf>
    <xf numFmtId="0" fontId="0" fillId="37" borderId="0" xfId="0" applyFill="1" applyBorder="1" applyAlignment="1" applyProtection="1">
      <alignment/>
      <protection hidden="1"/>
    </xf>
    <xf numFmtId="0" fontId="0" fillId="0" borderId="0" xfId="0" applyFill="1" applyBorder="1" applyAlignment="1" applyProtection="1">
      <alignment/>
      <protection hidden="1"/>
    </xf>
    <xf numFmtId="0" fontId="8" fillId="0" borderId="15" xfId="0" applyFont="1" applyBorder="1" applyAlignment="1" applyProtection="1">
      <alignment vertical="center"/>
      <protection hidden="1"/>
    </xf>
    <xf numFmtId="3" fontId="0" fillId="0" borderId="20" xfId="0" applyNumberFormat="1" applyBorder="1" applyAlignment="1" applyProtection="1">
      <alignment horizontal="center" vertical="center"/>
      <protection hidden="1"/>
    </xf>
    <xf numFmtId="0" fontId="0" fillId="0" borderId="37" xfId="0" applyBorder="1" applyAlignment="1" applyProtection="1">
      <alignment horizontal="center" vertical="center"/>
      <protection hidden="1"/>
    </xf>
    <xf numFmtId="4" fontId="0" fillId="0" borderId="20" xfId="0" applyNumberFormat="1" applyFont="1" applyBorder="1" applyAlignment="1" applyProtection="1">
      <alignment horizontal="left" vertical="center"/>
      <protection hidden="1"/>
    </xf>
    <xf numFmtId="0" fontId="0" fillId="0" borderId="37" xfId="0" applyBorder="1" applyAlignment="1" applyProtection="1">
      <alignment vertical="center"/>
      <protection hidden="1"/>
    </xf>
    <xf numFmtId="4" fontId="0" fillId="0" borderId="20" xfId="0" applyNumberFormat="1" applyFont="1" applyBorder="1" applyAlignment="1" applyProtection="1">
      <alignment horizontal="left"/>
      <protection hidden="1"/>
    </xf>
    <xf numFmtId="0" fontId="0" fillId="0" borderId="0" xfId="0" applyFill="1" applyBorder="1" applyAlignment="1" applyProtection="1">
      <alignment/>
      <protection hidden="1"/>
    </xf>
    <xf numFmtId="164" fontId="1" fillId="0" borderId="0" xfId="0" applyNumberFormat="1" applyFont="1" applyBorder="1" applyAlignment="1" applyProtection="1">
      <alignment horizontal="left"/>
      <protection hidden="1"/>
    </xf>
    <xf numFmtId="0" fontId="1" fillId="0" borderId="0" xfId="0" applyFont="1" applyBorder="1" applyAlignment="1" applyProtection="1">
      <alignment horizontal="center"/>
      <protection hidden="1"/>
    </xf>
    <xf numFmtId="0" fontId="1" fillId="0" borderId="47" xfId="0" applyFont="1" applyBorder="1" applyAlignment="1" applyProtection="1">
      <alignment horizontal="center"/>
      <protection hidden="1"/>
    </xf>
    <xf numFmtId="0" fontId="0" fillId="0" borderId="48" xfId="0" applyBorder="1" applyAlignment="1" applyProtection="1">
      <alignment horizontal="center"/>
      <protection hidden="1"/>
    </xf>
    <xf numFmtId="0" fontId="0" fillId="0" borderId="49" xfId="0" applyBorder="1" applyAlignment="1" applyProtection="1">
      <alignment/>
      <protection hidden="1"/>
    </xf>
    <xf numFmtId="0" fontId="0" fillId="0" borderId="50" xfId="0" applyBorder="1" applyAlignment="1" applyProtection="1">
      <alignment/>
      <protection hidden="1"/>
    </xf>
    <xf numFmtId="0" fontId="10" fillId="0" borderId="44" xfId="0" applyFont="1" applyBorder="1" applyAlignment="1" applyProtection="1">
      <alignment horizontal="left"/>
      <protection hidden="1"/>
    </xf>
    <xf numFmtId="0" fontId="10" fillId="0" borderId="45" xfId="0" applyFont="1" applyBorder="1" applyAlignment="1" applyProtection="1">
      <alignment horizontal="left"/>
      <protection hidden="1"/>
    </xf>
    <xf numFmtId="0" fontId="15" fillId="0" borderId="24" xfId="0" applyFont="1" applyBorder="1" applyAlignment="1" applyProtection="1">
      <alignment horizontal="left"/>
      <protection hidden="1"/>
    </xf>
    <xf numFmtId="0" fontId="0" fillId="0" borderId="0" xfId="0" applyBorder="1" applyAlignment="1" applyProtection="1">
      <alignment horizontal="left"/>
      <protection hidden="1"/>
    </xf>
    <xf numFmtId="3" fontId="16" fillId="0" borderId="0" xfId="56" applyNumberFormat="1" applyFill="1" applyBorder="1" applyAlignment="1" applyProtection="1">
      <alignment/>
      <protection hidden="1"/>
    </xf>
    <xf numFmtId="0" fontId="1" fillId="0" borderId="0" xfId="0" applyFont="1" applyBorder="1" applyAlignment="1" applyProtection="1">
      <alignment horizontal="left"/>
      <protection hidden="1"/>
    </xf>
    <xf numFmtId="0" fontId="15" fillId="0" borderId="24" xfId="0" applyFont="1" applyBorder="1" applyAlignment="1" applyProtection="1">
      <alignment horizontal="center"/>
      <protection hidden="1"/>
    </xf>
    <xf numFmtId="0" fontId="7" fillId="0" borderId="0" xfId="0" applyFont="1" applyFill="1" applyBorder="1" applyAlignment="1" applyProtection="1">
      <alignment/>
      <protection hidden="1"/>
    </xf>
    <xf numFmtId="39" fontId="7" fillId="0" borderId="0" xfId="0" applyNumberFormat="1" applyFont="1" applyBorder="1" applyAlignment="1" applyProtection="1">
      <alignment horizontal="left"/>
      <protection hidden="1"/>
    </xf>
    <xf numFmtId="0" fontId="16" fillId="0" borderId="0" xfId="56" applyAlignment="1" applyProtection="1">
      <alignment/>
      <protection hidden="1"/>
    </xf>
    <xf numFmtId="43" fontId="0" fillId="0" borderId="0" xfId="0" applyNumberFormat="1" applyBorder="1" applyAlignment="1" applyProtection="1">
      <alignment/>
      <protection hidden="1"/>
    </xf>
    <xf numFmtId="43" fontId="0" fillId="0" borderId="47" xfId="0" applyNumberFormat="1" applyBorder="1" applyAlignment="1" applyProtection="1">
      <alignment/>
      <protection hidden="1"/>
    </xf>
    <xf numFmtId="164" fontId="0" fillId="0" borderId="49" xfId="0" applyNumberFormat="1" applyBorder="1" applyAlignment="1" applyProtection="1">
      <alignment/>
      <protection hidden="1"/>
    </xf>
    <xf numFmtId="0" fontId="16" fillId="0" borderId="49" xfId="56" applyBorder="1" applyAlignment="1" applyProtection="1">
      <alignment/>
      <protection hidden="1"/>
    </xf>
    <xf numFmtId="43" fontId="0" fillId="0" borderId="49" xfId="0" applyNumberFormat="1" applyBorder="1" applyAlignment="1" applyProtection="1">
      <alignment/>
      <protection hidden="1"/>
    </xf>
    <xf numFmtId="164" fontId="0" fillId="0" borderId="0" xfId="0" applyNumberFormat="1" applyBorder="1" applyAlignment="1" applyProtection="1">
      <alignment horizontal="right"/>
      <protection hidden="1"/>
    </xf>
    <xf numFmtId="0" fontId="16" fillId="0" borderId="0" xfId="56" applyFill="1" applyBorder="1" applyAlignment="1" applyProtection="1">
      <alignment horizontal="left"/>
      <protection hidden="1"/>
    </xf>
    <xf numFmtId="164" fontId="7" fillId="0" borderId="0" xfId="0" applyNumberFormat="1" applyFont="1" applyFill="1" applyBorder="1" applyAlignment="1" applyProtection="1">
      <alignment horizontal="left"/>
      <protection hidden="1"/>
    </xf>
    <xf numFmtId="164" fontId="16" fillId="0" borderId="0" xfId="56" applyNumberFormat="1" applyBorder="1" applyAlignment="1" applyProtection="1">
      <alignment horizontal="left"/>
      <protection hidden="1"/>
    </xf>
    <xf numFmtId="0" fontId="1" fillId="0" borderId="36" xfId="0" applyFont="1" applyBorder="1" applyAlignment="1" applyProtection="1">
      <alignment horizontal="centerContinuous"/>
      <protection hidden="1"/>
    </xf>
    <xf numFmtId="0" fontId="0" fillId="0" borderId="30" xfId="0" applyBorder="1" applyAlignment="1" applyProtection="1">
      <alignment horizontal="centerContinuous"/>
      <protection hidden="1"/>
    </xf>
    <xf numFmtId="0" fontId="0" fillId="0" borderId="51" xfId="0" applyBorder="1" applyAlignment="1" applyProtection="1">
      <alignment horizontal="centerContinuous"/>
      <protection hidden="1"/>
    </xf>
    <xf numFmtId="0" fontId="0" fillId="0" borderId="0" xfId="0" applyBorder="1" applyAlignment="1" applyProtection="1">
      <alignment horizontal="centerContinuous"/>
      <protection hidden="1"/>
    </xf>
    <xf numFmtId="0" fontId="0" fillId="0" borderId="24" xfId="0" applyBorder="1" applyAlignment="1" applyProtection="1">
      <alignment horizontal="centerContinuous"/>
      <protection hidden="1"/>
    </xf>
    <xf numFmtId="164" fontId="0" fillId="0" borderId="0" xfId="0" applyNumberFormat="1" applyBorder="1" applyAlignment="1" applyProtection="1">
      <alignment/>
      <protection hidden="1"/>
    </xf>
    <xf numFmtId="0" fontId="0" fillId="0" borderId="0" xfId="0" applyFill="1" applyBorder="1" applyAlignment="1" applyProtection="1">
      <alignment horizontal="left"/>
      <protection hidden="1"/>
    </xf>
    <xf numFmtId="0" fontId="1" fillId="0" borderId="15" xfId="0" applyFont="1" applyBorder="1" applyAlignment="1" applyProtection="1">
      <alignment horizontal="center"/>
      <protection hidden="1"/>
    </xf>
    <xf numFmtId="0" fontId="1" fillId="0" borderId="20" xfId="0" applyFont="1" applyBorder="1" applyAlignment="1" applyProtection="1">
      <alignment horizontal="center"/>
      <protection hidden="1"/>
    </xf>
    <xf numFmtId="0" fontId="1" fillId="0" borderId="51" xfId="0" applyFont="1" applyBorder="1" applyAlignment="1" applyProtection="1">
      <alignment horizontal="center"/>
      <protection hidden="1"/>
    </xf>
    <xf numFmtId="0" fontId="0" fillId="0" borderId="18" xfId="0" applyBorder="1" applyAlignment="1" applyProtection="1">
      <alignment/>
      <protection hidden="1"/>
    </xf>
    <xf numFmtId="0" fontId="1" fillId="0" borderId="18" xfId="0" applyFont="1" applyBorder="1" applyAlignment="1" applyProtection="1">
      <alignment horizontal="centerContinuous"/>
      <protection hidden="1"/>
    </xf>
    <xf numFmtId="0" fontId="1" fillId="0" borderId="18" xfId="0" applyFont="1" applyBorder="1" applyAlignment="1" applyProtection="1">
      <alignment horizontal="center"/>
      <protection hidden="1"/>
    </xf>
    <xf numFmtId="0" fontId="1" fillId="0" borderId="52" xfId="0" applyFont="1" applyBorder="1" applyAlignment="1" applyProtection="1">
      <alignment horizontal="center"/>
      <protection hidden="1"/>
    </xf>
    <xf numFmtId="0" fontId="0" fillId="0" borderId="24" xfId="0" applyBorder="1" applyAlignment="1" applyProtection="1">
      <alignment horizontal="left"/>
      <protection hidden="1"/>
    </xf>
    <xf numFmtId="3" fontId="0" fillId="0" borderId="15" xfId="0" applyNumberFormat="1" applyFont="1" applyBorder="1" applyAlignment="1" applyProtection="1">
      <alignment horizontal="center"/>
      <protection hidden="1"/>
    </xf>
    <xf numFmtId="3" fontId="0" fillId="0" borderId="20" xfId="0" applyNumberFormat="1" applyBorder="1" applyAlignment="1" applyProtection="1">
      <alignment/>
      <protection hidden="1"/>
    </xf>
    <xf numFmtId="3" fontId="1" fillId="0" borderId="51" xfId="0" applyNumberFormat="1" applyFont="1" applyBorder="1" applyAlignment="1" applyProtection="1">
      <alignment/>
      <protection hidden="1"/>
    </xf>
    <xf numFmtId="0" fontId="0" fillId="0" borderId="53" xfId="0" applyBorder="1" applyAlignment="1" applyProtection="1">
      <alignment/>
      <protection hidden="1"/>
    </xf>
    <xf numFmtId="3" fontId="0" fillId="0" borderId="15" xfId="0" applyNumberFormat="1" applyBorder="1" applyAlignment="1" applyProtection="1">
      <alignment/>
      <protection hidden="1"/>
    </xf>
    <xf numFmtId="0" fontId="0" fillId="0" borderId="54" xfId="0" applyBorder="1" applyAlignment="1" applyProtection="1">
      <alignment/>
      <protection hidden="1"/>
    </xf>
    <xf numFmtId="2" fontId="0" fillId="0" borderId="28" xfId="0" applyNumberFormat="1" applyBorder="1" applyAlignment="1" applyProtection="1">
      <alignment horizontal="right"/>
      <protection hidden="1"/>
    </xf>
    <xf numFmtId="2" fontId="0" fillId="0" borderId="15" xfId="0" applyNumberFormat="1" applyBorder="1" applyAlignment="1" applyProtection="1">
      <alignment horizontal="right"/>
      <protection hidden="1"/>
    </xf>
    <xf numFmtId="2" fontId="0" fillId="0" borderId="37" xfId="0" applyNumberFormat="1" applyBorder="1" applyAlignment="1" applyProtection="1">
      <alignment horizontal="right"/>
      <protection hidden="1"/>
    </xf>
    <xf numFmtId="0" fontId="0" fillId="0" borderId="55" xfId="0" applyBorder="1" applyAlignment="1" applyProtection="1">
      <alignment/>
      <protection hidden="1"/>
    </xf>
    <xf numFmtId="0" fontId="0" fillId="0" borderId="49" xfId="0" applyBorder="1" applyAlignment="1" applyProtection="1">
      <alignment horizontal="right"/>
      <protection hidden="1"/>
    </xf>
    <xf numFmtId="0" fontId="0" fillId="0" borderId="49" xfId="0" applyFill="1" applyBorder="1" applyAlignment="1" applyProtection="1">
      <alignment horizontal="left"/>
      <protection hidden="1"/>
    </xf>
    <xf numFmtId="0" fontId="0" fillId="0" borderId="49" xfId="0" applyBorder="1" applyAlignment="1" applyProtection="1">
      <alignment horizontal="left"/>
      <protection hidden="1"/>
    </xf>
    <xf numFmtId="3" fontId="0" fillId="0" borderId="56" xfId="0" applyNumberFormat="1" applyBorder="1" applyAlignment="1" applyProtection="1">
      <alignment/>
      <protection hidden="1"/>
    </xf>
    <xf numFmtId="3" fontId="0" fillId="0" borderId="57" xfId="0" applyNumberFormat="1" applyBorder="1" applyAlignment="1" applyProtection="1">
      <alignment/>
      <protection hidden="1"/>
    </xf>
    <xf numFmtId="3" fontId="0" fillId="0" borderId="21" xfId="0" applyNumberFormat="1" applyBorder="1" applyAlignment="1" applyProtection="1">
      <alignment/>
      <protection hidden="1"/>
    </xf>
    <xf numFmtId="3" fontId="1" fillId="0" borderId="50" xfId="0" applyNumberFormat="1" applyFont="1" applyBorder="1" applyAlignment="1" applyProtection="1">
      <alignment/>
      <protection hidden="1"/>
    </xf>
    <xf numFmtId="0" fontId="0" fillId="0" borderId="58" xfId="0" applyBorder="1" applyAlignment="1" applyProtection="1">
      <alignment/>
      <protection hidden="1"/>
    </xf>
    <xf numFmtId="2" fontId="0" fillId="0" borderId="59" xfId="0" applyNumberFormat="1" applyBorder="1" applyAlignment="1" applyProtection="1">
      <alignment horizontal="right"/>
      <protection hidden="1"/>
    </xf>
    <xf numFmtId="2" fontId="0" fillId="0" borderId="60" xfId="0" applyNumberFormat="1" applyBorder="1" applyAlignment="1" applyProtection="1">
      <alignment horizontal="right"/>
      <protection hidden="1"/>
    </xf>
    <xf numFmtId="2" fontId="0" fillId="0" borderId="61" xfId="0" applyNumberFormat="1" applyBorder="1" applyAlignment="1" applyProtection="1">
      <alignment horizontal="right"/>
      <protection hidden="1"/>
    </xf>
    <xf numFmtId="0" fontId="0" fillId="0" borderId="62" xfId="0" applyBorder="1" applyAlignment="1" applyProtection="1">
      <alignment/>
      <protection hidden="1"/>
    </xf>
    <xf numFmtId="0" fontId="1" fillId="0" borderId="20" xfId="0" applyFont="1" applyBorder="1" applyAlignment="1" applyProtection="1">
      <alignment horizontal="right"/>
      <protection hidden="1"/>
    </xf>
    <xf numFmtId="3" fontId="1" fillId="0" borderId="63" xfId="0" applyNumberFormat="1" applyFont="1" applyBorder="1" applyAlignment="1" applyProtection="1">
      <alignment/>
      <protection hidden="1"/>
    </xf>
    <xf numFmtId="43" fontId="1" fillId="0" borderId="0" xfId="42" applyNumberFormat="1" applyFont="1" applyBorder="1" applyAlignment="1" applyProtection="1">
      <alignment/>
      <protection hidden="1"/>
    </xf>
    <xf numFmtId="43" fontId="1" fillId="0" borderId="47" xfId="42" applyNumberFormat="1" applyFont="1" applyBorder="1" applyAlignment="1" applyProtection="1">
      <alignment/>
      <protection hidden="1"/>
    </xf>
    <xf numFmtId="0" fontId="16" fillId="0" borderId="0" xfId="56" applyFont="1" applyBorder="1" applyAlignment="1" applyProtection="1">
      <alignment/>
      <protection hidden="1"/>
    </xf>
    <xf numFmtId="4" fontId="1" fillId="0" borderId="15" xfId="42" applyNumberFormat="1" applyFont="1" applyBorder="1" applyAlignment="1" applyProtection="1">
      <alignment/>
      <protection hidden="1"/>
    </xf>
    <xf numFmtId="43" fontId="0" fillId="0" borderId="0" xfId="42" applyFont="1" applyBorder="1" applyAlignment="1" applyProtection="1">
      <alignment/>
      <protection hidden="1"/>
    </xf>
    <xf numFmtId="43" fontId="0" fillId="0" borderId="47" xfId="42" applyFont="1" applyBorder="1" applyAlignment="1" applyProtection="1">
      <alignment/>
      <protection hidden="1"/>
    </xf>
    <xf numFmtId="0" fontId="16" fillId="0" borderId="24" xfId="56" applyBorder="1" applyAlignment="1" applyProtection="1">
      <alignment/>
      <protection hidden="1"/>
    </xf>
    <xf numFmtId="0" fontId="0" fillId="0" borderId="61" xfId="0" applyBorder="1" applyAlignment="1" applyProtection="1">
      <alignment/>
      <protection hidden="1"/>
    </xf>
    <xf numFmtId="0" fontId="1" fillId="0" borderId="0" xfId="0" applyFont="1" applyBorder="1" applyAlignment="1" applyProtection="1">
      <alignment horizontal="right"/>
      <protection hidden="1"/>
    </xf>
    <xf numFmtId="164" fontId="1" fillId="0" borderId="60" xfId="0" applyNumberFormat="1" applyFont="1" applyBorder="1" applyAlignment="1" applyProtection="1">
      <alignment/>
      <protection hidden="1"/>
    </xf>
    <xf numFmtId="0" fontId="6" fillId="0" borderId="0" xfId="0" applyFont="1" applyBorder="1" applyAlignment="1" applyProtection="1">
      <alignment/>
      <protection hidden="1"/>
    </xf>
    <xf numFmtId="0" fontId="6" fillId="0" borderId="47" xfId="0" applyFont="1" applyBorder="1" applyAlignment="1" applyProtection="1">
      <alignment/>
      <protection hidden="1"/>
    </xf>
    <xf numFmtId="0" fontId="6" fillId="0" borderId="0" xfId="0" applyFont="1" applyAlignment="1" applyProtection="1">
      <alignment/>
      <protection hidden="1"/>
    </xf>
    <xf numFmtId="0" fontId="1" fillId="0" borderId="64" xfId="0" applyFont="1" applyBorder="1" applyAlignment="1" applyProtection="1">
      <alignment horizontal="centerContinuous"/>
      <protection hidden="1"/>
    </xf>
    <xf numFmtId="0" fontId="1" fillId="0" borderId="65" xfId="0" applyFont="1" applyBorder="1" applyAlignment="1" applyProtection="1">
      <alignment horizontal="centerContinuous"/>
      <protection hidden="1"/>
    </xf>
    <xf numFmtId="0" fontId="1" fillId="0" borderId="66" xfId="0" applyFont="1" applyBorder="1" applyAlignment="1" applyProtection="1">
      <alignment horizontal="centerContinuous"/>
      <protection hidden="1"/>
    </xf>
    <xf numFmtId="0" fontId="1" fillId="0" borderId="67" xfId="0" applyFont="1" applyBorder="1" applyAlignment="1" applyProtection="1">
      <alignment horizontal="centerContinuous"/>
      <protection hidden="1"/>
    </xf>
    <xf numFmtId="0" fontId="0" fillId="0" borderId="68" xfId="0" applyBorder="1" applyAlignment="1" applyProtection="1">
      <alignment horizontal="centerContinuous"/>
      <protection hidden="1"/>
    </xf>
    <xf numFmtId="0" fontId="0" fillId="0" borderId="67" xfId="0" applyBorder="1" applyAlignment="1" applyProtection="1">
      <alignment horizontal="centerContinuous"/>
      <protection hidden="1"/>
    </xf>
    <xf numFmtId="0" fontId="0" fillId="0" borderId="69" xfId="0" applyBorder="1" applyAlignment="1" applyProtection="1">
      <alignment horizontal="centerContinuous"/>
      <protection hidden="1"/>
    </xf>
    <xf numFmtId="0" fontId="0" fillId="0" borderId="70" xfId="0" applyBorder="1" applyAlignment="1" applyProtection="1">
      <alignment/>
      <protection hidden="1"/>
    </xf>
    <xf numFmtId="0" fontId="0" fillId="0" borderId="71" xfId="0"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0" borderId="72" xfId="0" applyFont="1" applyBorder="1" applyAlignment="1" applyProtection="1">
      <alignment horizontal="center" wrapText="1"/>
      <protection hidden="1"/>
    </xf>
    <xf numFmtId="0" fontId="1" fillId="0" borderId="59" xfId="0" applyFont="1" applyBorder="1" applyAlignment="1" applyProtection="1">
      <alignment horizontal="center" wrapText="1"/>
      <protection hidden="1"/>
    </xf>
    <xf numFmtId="0" fontId="1" fillId="0" borderId="73" xfId="0" applyFont="1" applyBorder="1" applyAlignment="1" applyProtection="1">
      <alignment horizontal="center" wrapText="1"/>
      <protection hidden="1"/>
    </xf>
    <xf numFmtId="0" fontId="1" fillId="0" borderId="73" xfId="0" applyFont="1" applyBorder="1" applyAlignment="1" applyProtection="1">
      <alignment horizontal="center"/>
      <protection hidden="1"/>
    </xf>
    <xf numFmtId="0" fontId="1" fillId="0" borderId="74" xfId="0" applyFont="1" applyBorder="1" applyAlignment="1" applyProtection="1">
      <alignment horizontal="center" wrapText="1"/>
      <protection hidden="1"/>
    </xf>
    <xf numFmtId="0" fontId="1" fillId="0" borderId="75" xfId="0" applyFont="1" applyBorder="1" applyAlignment="1" applyProtection="1">
      <alignment horizontal="center" wrapText="1"/>
      <protection hidden="1"/>
    </xf>
    <xf numFmtId="0" fontId="1" fillId="0" borderId="14" xfId="0" applyFont="1" applyBorder="1" applyAlignment="1" applyProtection="1">
      <alignment horizontal="centerContinuous"/>
      <protection hidden="1"/>
    </xf>
    <xf numFmtId="0" fontId="1" fillId="0" borderId="60" xfId="0" applyFont="1" applyBorder="1" applyAlignment="1" applyProtection="1">
      <alignment horizontal="centerContinuous"/>
      <protection hidden="1"/>
    </xf>
    <xf numFmtId="0" fontId="1" fillId="0" borderId="76" xfId="0" applyFont="1" applyBorder="1" applyAlignment="1" applyProtection="1">
      <alignment horizontal="centerContinuous"/>
      <protection hidden="1"/>
    </xf>
    <xf numFmtId="0" fontId="1" fillId="0" borderId="58" xfId="0" applyFont="1" applyBorder="1" applyAlignment="1" applyProtection="1">
      <alignment horizontal="centerContinuous"/>
      <protection hidden="1"/>
    </xf>
    <xf numFmtId="0" fontId="1" fillId="0" borderId="59" xfId="0" applyFont="1" applyBorder="1" applyAlignment="1" applyProtection="1">
      <alignment horizontal="centerContinuous"/>
      <protection hidden="1"/>
    </xf>
    <xf numFmtId="0" fontId="1" fillId="0" borderId="61" xfId="0" applyFont="1" applyBorder="1" applyAlignment="1" applyProtection="1">
      <alignment horizontal="centerContinuous"/>
      <protection hidden="1"/>
    </xf>
    <xf numFmtId="0" fontId="1" fillId="0" borderId="77" xfId="0" applyFont="1" applyBorder="1" applyAlignment="1" applyProtection="1">
      <alignment horizontal="center"/>
      <protection hidden="1"/>
    </xf>
    <xf numFmtId="0" fontId="1" fillId="0" borderId="47" xfId="0" applyFont="1" applyBorder="1" applyAlignment="1" applyProtection="1">
      <alignment horizontal="centerContinuous"/>
      <protection hidden="1"/>
    </xf>
    <xf numFmtId="0" fontId="0" fillId="0" borderId="64" xfId="0" applyBorder="1" applyAlignment="1" applyProtection="1">
      <alignment horizontal="center"/>
      <protection hidden="1"/>
    </xf>
    <xf numFmtId="0" fontId="0" fillId="0" borderId="78" xfId="0" applyBorder="1" applyAlignment="1" applyProtection="1">
      <alignment/>
      <protection hidden="1"/>
    </xf>
    <xf numFmtId="0" fontId="0" fillId="0" borderId="79" xfId="0" applyBorder="1" applyAlignment="1" applyProtection="1">
      <alignment horizontal="left"/>
      <protection hidden="1"/>
    </xf>
    <xf numFmtId="0" fontId="0" fillId="0" borderId="80" xfId="0" applyBorder="1" applyAlignment="1" applyProtection="1">
      <alignment horizontal="left"/>
      <protection hidden="1"/>
    </xf>
    <xf numFmtId="0" fontId="0" fillId="0" borderId="67" xfId="0" applyBorder="1" applyAlignment="1" applyProtection="1">
      <alignment horizontal="left"/>
      <protection hidden="1"/>
    </xf>
    <xf numFmtId="0" fontId="0" fillId="0" borderId="81" xfId="0" applyBorder="1" applyAlignment="1" applyProtection="1">
      <alignment horizontal="left"/>
      <protection hidden="1"/>
    </xf>
    <xf numFmtId="0" fontId="0" fillId="0" borderId="82" xfId="0" applyBorder="1" applyAlignment="1" applyProtection="1">
      <alignment horizontal="left"/>
      <protection hidden="1"/>
    </xf>
    <xf numFmtId="0" fontId="0" fillId="0" borderId="47" xfId="0" applyBorder="1" applyAlignment="1" applyProtection="1">
      <alignment horizontal="left"/>
      <protection hidden="1"/>
    </xf>
    <xf numFmtId="0" fontId="1" fillId="34" borderId="15" xfId="0" applyFont="1" applyFill="1" applyBorder="1" applyAlignment="1" applyProtection="1">
      <alignment/>
      <protection hidden="1"/>
    </xf>
    <xf numFmtId="164" fontId="1" fillId="34" borderId="17" xfId="0" applyNumberFormat="1" applyFont="1" applyFill="1" applyBorder="1" applyAlignment="1" applyProtection="1">
      <alignment horizontal="center"/>
      <protection hidden="1"/>
    </xf>
    <xf numFmtId="43" fontId="1" fillId="0" borderId="18" xfId="42" applyFont="1" applyFill="1" applyBorder="1" applyAlignment="1" applyProtection="1">
      <alignment/>
      <protection hidden="1"/>
    </xf>
    <xf numFmtId="43" fontId="0" fillId="0" borderId="17" xfId="42" applyFont="1" applyFill="1" applyBorder="1" applyAlignment="1" applyProtection="1">
      <alignment/>
      <protection hidden="1"/>
    </xf>
    <xf numFmtId="164" fontId="0" fillId="0" borderId="83" xfId="0" applyNumberFormat="1" applyFont="1" applyFill="1" applyBorder="1" applyAlignment="1" applyProtection="1">
      <alignment horizontal="center"/>
      <protection hidden="1"/>
    </xf>
    <xf numFmtId="43" fontId="0" fillId="0" borderId="20" xfId="42" applyNumberFormat="1" applyFont="1" applyBorder="1" applyAlignment="1" applyProtection="1">
      <alignment horizontal="center"/>
      <protection hidden="1"/>
    </xf>
    <xf numFmtId="164" fontId="1" fillId="0" borderId="0" xfId="0" applyNumberFormat="1" applyFont="1" applyBorder="1" applyAlignment="1" applyProtection="1">
      <alignment horizontal="center"/>
      <protection hidden="1"/>
    </xf>
    <xf numFmtId="2" fontId="1" fillId="0" borderId="84" xfId="0" applyNumberFormat="1" applyFont="1" applyBorder="1" applyAlignment="1" applyProtection="1">
      <alignment horizontal="right"/>
      <protection hidden="1"/>
    </xf>
    <xf numFmtId="2" fontId="0" fillId="0" borderId="47" xfId="0" applyNumberFormat="1" applyBorder="1" applyAlignment="1" applyProtection="1">
      <alignment horizontal="right"/>
      <protection hidden="1"/>
    </xf>
    <xf numFmtId="2" fontId="0" fillId="0" borderId="0" xfId="0" applyNumberFormat="1" applyBorder="1" applyAlignment="1" applyProtection="1">
      <alignment horizontal="right"/>
      <protection hidden="1"/>
    </xf>
    <xf numFmtId="43" fontId="1" fillId="0" borderId="85" xfId="42" applyNumberFormat="1" applyFont="1" applyBorder="1" applyAlignment="1" applyProtection="1">
      <alignment horizontal="center"/>
      <protection hidden="1"/>
    </xf>
    <xf numFmtId="2" fontId="1" fillId="0" borderId="83" xfId="0" applyNumberFormat="1" applyFont="1" applyBorder="1" applyAlignment="1" applyProtection="1">
      <alignment horizontal="right"/>
      <protection hidden="1"/>
    </xf>
    <xf numFmtId="2" fontId="1" fillId="0" borderId="18" xfId="0" applyNumberFormat="1" applyFont="1" applyFill="1" applyBorder="1" applyAlignment="1" applyProtection="1">
      <alignment/>
      <protection hidden="1"/>
    </xf>
    <xf numFmtId="2" fontId="0" fillId="0" borderId="17" xfId="0" applyNumberFormat="1" applyFill="1" applyBorder="1" applyAlignment="1" applyProtection="1">
      <alignment/>
      <protection hidden="1"/>
    </xf>
    <xf numFmtId="0" fontId="1" fillId="34" borderId="15" xfId="0" applyFont="1" applyFill="1" applyBorder="1" applyAlignment="1" applyProtection="1">
      <alignment horizontal="center"/>
      <protection hidden="1"/>
    </xf>
    <xf numFmtId="2" fontId="0" fillId="0" borderId="20" xfId="0" applyNumberFormat="1" applyBorder="1" applyAlignment="1" applyProtection="1">
      <alignment horizontal="center"/>
      <protection hidden="1"/>
    </xf>
    <xf numFmtId="2" fontId="0" fillId="0" borderId="15" xfId="0" applyNumberFormat="1" applyBorder="1" applyAlignment="1" applyProtection="1">
      <alignment horizontal="center"/>
      <protection hidden="1"/>
    </xf>
    <xf numFmtId="2" fontId="0" fillId="0" borderId="83" xfId="0" applyNumberFormat="1" applyBorder="1" applyAlignment="1" applyProtection="1">
      <alignment horizontal="center"/>
      <protection hidden="1"/>
    </xf>
    <xf numFmtId="43" fontId="1" fillId="0" borderId="86" xfId="42" applyNumberFormat="1" applyFont="1" applyBorder="1" applyAlignment="1" applyProtection="1">
      <alignment horizontal="center"/>
      <protection hidden="1"/>
    </xf>
    <xf numFmtId="43" fontId="0" fillId="0" borderId="72" xfId="42" applyFont="1" applyBorder="1" applyAlignment="1" applyProtection="1">
      <alignment horizontal="center"/>
      <protection hidden="1"/>
    </xf>
    <xf numFmtId="43" fontId="1" fillId="0" borderId="87" xfId="42" applyFont="1" applyBorder="1" applyAlignment="1" applyProtection="1">
      <alignment/>
      <protection hidden="1"/>
    </xf>
    <xf numFmtId="43" fontId="1" fillId="0" borderId="88" xfId="42" applyFont="1" applyBorder="1" applyAlignment="1" applyProtection="1">
      <alignment/>
      <protection hidden="1"/>
    </xf>
    <xf numFmtId="43" fontId="1" fillId="0" borderId="14" xfId="42" applyFont="1" applyBorder="1" applyAlignment="1" applyProtection="1">
      <alignment/>
      <protection hidden="1"/>
    </xf>
    <xf numFmtId="43" fontId="1" fillId="0" borderId="89" xfId="42" applyFont="1" applyBorder="1" applyAlignment="1" applyProtection="1">
      <alignment horizontal="center"/>
      <protection hidden="1"/>
    </xf>
    <xf numFmtId="43" fontId="1" fillId="0" borderId="89" xfId="42" applyFont="1" applyBorder="1" applyAlignment="1" applyProtection="1">
      <alignment/>
      <protection hidden="1"/>
    </xf>
    <xf numFmtId="43" fontId="1" fillId="0" borderId="75" xfId="42" applyFont="1" applyBorder="1" applyAlignment="1" applyProtection="1">
      <alignment horizontal="center"/>
      <protection hidden="1"/>
    </xf>
    <xf numFmtId="43" fontId="1" fillId="0" borderId="73" xfId="42" applyFont="1" applyBorder="1" applyAlignment="1" applyProtection="1">
      <alignment horizontal="center"/>
      <protection hidden="1"/>
    </xf>
    <xf numFmtId="43" fontId="1" fillId="0" borderId="0" xfId="42" applyFont="1" applyBorder="1" applyAlignment="1" applyProtection="1">
      <alignment/>
      <protection hidden="1"/>
    </xf>
    <xf numFmtId="43" fontId="1" fillId="0" borderId="90" xfId="42" applyFont="1" applyBorder="1" applyAlignment="1" applyProtection="1">
      <alignment horizontal="right"/>
      <protection hidden="1"/>
    </xf>
    <xf numFmtId="43" fontId="1" fillId="0" borderId="73" xfId="42" applyFont="1" applyBorder="1" applyAlignment="1" applyProtection="1">
      <alignment horizontal="right"/>
      <protection hidden="1"/>
    </xf>
    <xf numFmtId="43" fontId="1" fillId="0" borderId="74" xfId="42" applyFont="1" applyBorder="1" applyAlignment="1" applyProtection="1">
      <alignment horizontal="right"/>
      <protection hidden="1"/>
    </xf>
    <xf numFmtId="43" fontId="1" fillId="0" borderId="76" xfId="42" applyFont="1" applyBorder="1" applyAlignment="1" applyProtection="1">
      <alignment horizontal="right"/>
      <protection hidden="1"/>
    </xf>
    <xf numFmtId="43" fontId="1" fillId="0" borderId="0" xfId="42" applyFont="1" applyBorder="1" applyAlignment="1" applyProtection="1">
      <alignment horizontal="right"/>
      <protection hidden="1"/>
    </xf>
    <xf numFmtId="0" fontId="16" fillId="0" borderId="22" xfId="56" applyBorder="1" applyAlignment="1" applyProtection="1">
      <alignment/>
      <protection hidden="1"/>
    </xf>
    <xf numFmtId="0" fontId="0" fillId="0" borderId="0" xfId="0" applyBorder="1" applyAlignment="1" applyProtection="1">
      <alignment horizontal="left" vertical="top"/>
      <protection hidden="1"/>
    </xf>
    <xf numFmtId="2" fontId="1" fillId="0" borderId="0" xfId="0" applyNumberFormat="1" applyFont="1" applyBorder="1" applyAlignment="1" applyProtection="1">
      <alignment horizontal="right"/>
      <protection hidden="1"/>
    </xf>
    <xf numFmtId="2" fontId="1" fillId="0" borderId="47" xfId="0" applyNumberFormat="1" applyFont="1" applyBorder="1" applyAlignment="1" applyProtection="1">
      <alignment horizontal="right"/>
      <protection hidden="1"/>
    </xf>
    <xf numFmtId="0" fontId="1" fillId="0" borderId="24" xfId="0" applyFont="1" applyBorder="1" applyAlignment="1" applyProtection="1">
      <alignment/>
      <protection hidden="1"/>
    </xf>
    <xf numFmtId="2" fontId="0" fillId="0" borderId="0" xfId="0" applyNumberFormat="1" applyFont="1" applyBorder="1" applyAlignment="1" applyProtection="1">
      <alignment/>
      <protection hidden="1"/>
    </xf>
    <xf numFmtId="164" fontId="1" fillId="0" borderId="0" xfId="0" applyNumberFormat="1" applyFont="1" applyBorder="1" applyAlignment="1" applyProtection="1">
      <alignment/>
      <protection hidden="1"/>
    </xf>
    <xf numFmtId="164" fontId="16" fillId="0" borderId="0" xfId="56" applyNumberFormat="1" applyBorder="1" applyAlignment="1" applyProtection="1">
      <alignment/>
      <protection hidden="1"/>
    </xf>
    <xf numFmtId="2" fontId="1" fillId="0" borderId="0" xfId="0" applyNumberFormat="1" applyFont="1" applyBorder="1" applyAlignment="1" applyProtection="1">
      <alignment/>
      <protection hidden="1"/>
    </xf>
    <xf numFmtId="2" fontId="1" fillId="0" borderId="0" xfId="0" applyNumberFormat="1" applyFont="1" applyBorder="1" applyAlignment="1" applyProtection="1">
      <alignment horizontal="centerContinuous"/>
      <protection hidden="1"/>
    </xf>
    <xf numFmtId="0" fontId="0" fillId="0" borderId="0" xfId="0" applyFont="1" applyFill="1" applyBorder="1" applyAlignment="1" applyProtection="1">
      <alignment horizontal="left" vertical="top" wrapText="1"/>
      <protection hidden="1"/>
    </xf>
    <xf numFmtId="2" fontId="1" fillId="0" borderId="0" xfId="0" applyNumberFormat="1" applyFont="1" applyFill="1" applyBorder="1" applyAlignment="1" applyProtection="1">
      <alignment/>
      <protection hidden="1"/>
    </xf>
    <xf numFmtId="2" fontId="1" fillId="0" borderId="0" xfId="0" applyNumberFormat="1" applyFont="1" applyFill="1" applyBorder="1" applyAlignment="1" applyProtection="1">
      <alignment horizontal="right"/>
      <protection hidden="1"/>
    </xf>
    <xf numFmtId="0" fontId="0" fillId="34" borderId="0" xfId="0" applyFont="1" applyFill="1" applyBorder="1" applyAlignment="1" applyProtection="1">
      <alignment horizontal="left" vertical="top" wrapText="1"/>
      <protection hidden="1"/>
    </xf>
    <xf numFmtId="2" fontId="1" fillId="0" borderId="0" xfId="0" applyNumberFormat="1" applyFont="1" applyFill="1" applyBorder="1" applyAlignment="1" applyProtection="1">
      <alignment horizontal="left"/>
      <protection hidden="1"/>
    </xf>
    <xf numFmtId="0" fontId="1" fillId="0" borderId="49" xfId="0" applyFont="1" applyBorder="1" applyAlignment="1" applyProtection="1">
      <alignment/>
      <protection hidden="1"/>
    </xf>
    <xf numFmtId="2" fontId="0" fillId="0" borderId="49" xfId="0" applyNumberFormat="1" applyFont="1" applyBorder="1" applyAlignment="1" applyProtection="1">
      <alignment/>
      <protection hidden="1"/>
    </xf>
    <xf numFmtId="164" fontId="1" fillId="0" borderId="49" xfId="0" applyNumberFormat="1" applyFont="1" applyBorder="1" applyAlignment="1" applyProtection="1">
      <alignment/>
      <protection hidden="1"/>
    </xf>
    <xf numFmtId="2" fontId="1" fillId="0" borderId="49" xfId="0" applyNumberFormat="1" applyFont="1" applyBorder="1" applyAlignment="1" applyProtection="1">
      <alignment horizontal="right"/>
      <protection hidden="1"/>
    </xf>
    <xf numFmtId="2" fontId="1" fillId="0" borderId="50" xfId="0" applyNumberFormat="1" applyFont="1" applyBorder="1" applyAlignment="1" applyProtection="1">
      <alignment horizontal="right"/>
      <protection hidden="1"/>
    </xf>
    <xf numFmtId="0" fontId="0" fillId="33" borderId="0" xfId="0" applyFill="1" applyAlignment="1" applyProtection="1">
      <alignment/>
      <protection hidden="1"/>
    </xf>
    <xf numFmtId="171" fontId="0" fillId="0" borderId="0" xfId="42" applyNumberFormat="1" applyFont="1" applyBorder="1" applyAlignment="1" applyProtection="1">
      <alignment/>
      <protection locked="0"/>
    </xf>
    <xf numFmtId="43" fontId="0" fillId="0" borderId="0" xfId="42" applyFont="1" applyAlignment="1" applyProtection="1">
      <alignment/>
      <protection locked="0"/>
    </xf>
    <xf numFmtId="0" fontId="12" fillId="0" borderId="44" xfId="0" applyFont="1" applyBorder="1" applyAlignment="1" applyProtection="1">
      <alignment horizontal="centerContinuous"/>
      <protection hidden="1"/>
    </xf>
    <xf numFmtId="0" fontId="13" fillId="0" borderId="45" xfId="0" applyFont="1" applyBorder="1" applyAlignment="1" applyProtection="1">
      <alignment horizontal="centerContinuous"/>
      <protection hidden="1"/>
    </xf>
    <xf numFmtId="0" fontId="1" fillId="0" borderId="45" xfId="0" applyFont="1" applyBorder="1" applyAlignment="1" applyProtection="1">
      <alignment horizontal="centerContinuous"/>
      <protection hidden="1"/>
    </xf>
    <xf numFmtId="0" fontId="14" fillId="0" borderId="45" xfId="0" applyFont="1" applyBorder="1" applyAlignment="1" applyProtection="1">
      <alignment horizontal="centerContinuous"/>
      <protection hidden="1"/>
    </xf>
    <xf numFmtId="0" fontId="1" fillId="0" borderId="46" xfId="0" applyFont="1" applyBorder="1" applyAlignment="1" applyProtection="1">
      <alignment horizontal="centerContinuous"/>
      <protection hidden="1"/>
    </xf>
    <xf numFmtId="0" fontId="0" fillId="0" borderId="0" xfId="0" applyBorder="1" applyAlignment="1" applyProtection="1">
      <alignment/>
      <protection hidden="1" locked="0"/>
    </xf>
    <xf numFmtId="0" fontId="0" fillId="0" borderId="0" xfId="0" applyAlignment="1" applyProtection="1">
      <alignment/>
      <protection hidden="1" locked="0"/>
    </xf>
    <xf numFmtId="0" fontId="16" fillId="0" borderId="24" xfId="56" applyBorder="1" applyAlignment="1" applyProtection="1">
      <alignment horizontal="center"/>
      <protection hidden="1"/>
    </xf>
    <xf numFmtId="0" fontId="3" fillId="0" borderId="0" xfId="0" applyFont="1" applyBorder="1" applyAlignment="1" applyProtection="1">
      <alignment/>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right"/>
      <protection hidden="1"/>
    </xf>
    <xf numFmtId="0" fontId="3" fillId="0" borderId="47" xfId="0" applyFont="1" applyBorder="1" applyAlignment="1" applyProtection="1">
      <alignment horizontal="left"/>
      <protection hidden="1"/>
    </xf>
    <xf numFmtId="0" fontId="3" fillId="0" borderId="0" xfId="0" applyFont="1" applyBorder="1" applyAlignment="1" applyProtection="1">
      <alignment horizontal="left"/>
      <protection hidden="1"/>
    </xf>
    <xf numFmtId="49" fontId="26" fillId="34" borderId="20" xfId="0" applyNumberFormat="1" applyFont="1" applyFill="1" applyBorder="1" applyAlignment="1" applyProtection="1">
      <alignment/>
      <protection hidden="1"/>
    </xf>
    <xf numFmtId="0" fontId="23" fillId="0" borderId="0" xfId="56" applyFont="1" applyBorder="1" applyAlignment="1" applyProtection="1">
      <alignment/>
      <protection hidden="1"/>
    </xf>
    <xf numFmtId="3" fontId="0" fillId="0" borderId="15" xfId="0" applyNumberFormat="1" applyBorder="1" applyAlignment="1" applyProtection="1">
      <alignment horizontal="center"/>
      <protection hidden="1"/>
    </xf>
    <xf numFmtId="4" fontId="0" fillId="0" borderId="0" xfId="0" applyNumberFormat="1" applyBorder="1" applyAlignment="1" applyProtection="1">
      <alignment horizontal="left"/>
      <protection hidden="1"/>
    </xf>
    <xf numFmtId="0" fontId="0" fillId="33" borderId="15" xfId="0" applyFill="1" applyBorder="1" applyAlignment="1" applyProtection="1">
      <alignment/>
      <protection hidden="1" locked="0"/>
    </xf>
    <xf numFmtId="0" fontId="26" fillId="34" borderId="20" xfId="0" applyFont="1" applyFill="1" applyBorder="1" applyAlignment="1" applyProtection="1">
      <alignment/>
      <protection hidden="1"/>
    </xf>
    <xf numFmtId="0" fontId="1" fillId="0" borderId="0" xfId="0" applyFont="1" applyBorder="1" applyAlignment="1" applyProtection="1">
      <alignment/>
      <protection hidden="1" locked="0"/>
    </xf>
    <xf numFmtId="3" fontId="1" fillId="0" borderId="0" xfId="0" applyNumberFormat="1" applyFont="1" applyBorder="1" applyAlignment="1" applyProtection="1">
      <alignment/>
      <protection hidden="1" locked="0"/>
    </xf>
    <xf numFmtId="0" fontId="0" fillId="0" borderId="0" xfId="0" applyBorder="1" applyAlignment="1" applyProtection="1">
      <alignment horizontal="right" wrapText="1"/>
      <protection hidden="1"/>
    </xf>
    <xf numFmtId="0" fontId="0" fillId="0" borderId="0" xfId="0" applyBorder="1" applyAlignment="1" applyProtection="1">
      <alignment/>
      <protection hidden="1"/>
    </xf>
    <xf numFmtId="3" fontId="0" fillId="0" borderId="15" xfId="0" applyNumberFormat="1" applyBorder="1" applyAlignment="1" applyProtection="1">
      <alignment horizontal="center" vertical="center"/>
      <protection hidden="1"/>
    </xf>
    <xf numFmtId="4" fontId="0" fillId="0" borderId="0" xfId="0" applyNumberFormat="1" applyFont="1" applyBorder="1" applyAlignment="1" applyProtection="1">
      <alignment horizontal="left" vertical="center"/>
      <protection hidden="1"/>
    </xf>
    <xf numFmtId="0" fontId="1" fillId="0" borderId="0" xfId="0" applyFont="1" applyBorder="1" applyAlignment="1" applyProtection="1">
      <alignment/>
      <protection hidden="1"/>
    </xf>
    <xf numFmtId="4" fontId="0" fillId="0" borderId="0" xfId="0" applyNumberFormat="1" applyFont="1" applyBorder="1" applyAlignment="1" applyProtection="1">
      <alignment horizontal="left"/>
      <protection hidden="1"/>
    </xf>
    <xf numFmtId="0" fontId="5" fillId="0" borderId="0" xfId="0" applyFont="1" applyBorder="1" applyAlignment="1" applyProtection="1">
      <alignment horizontal="center"/>
      <protection hidden="1" locked="0"/>
    </xf>
    <xf numFmtId="0" fontId="5" fillId="0" borderId="0" xfId="0" applyFont="1" applyBorder="1" applyAlignment="1" applyProtection="1">
      <alignment/>
      <protection hidden="1" locked="0"/>
    </xf>
    <xf numFmtId="0" fontId="10" fillId="0" borderId="24" xfId="0" applyFont="1" applyBorder="1" applyAlignment="1" applyProtection="1">
      <alignment horizontal="left"/>
      <protection hidden="1"/>
    </xf>
    <xf numFmtId="39" fontId="7" fillId="0" borderId="0" xfId="0" applyNumberFormat="1" applyFont="1" applyBorder="1" applyAlignment="1" applyProtection="1">
      <alignment/>
      <protection hidden="1"/>
    </xf>
    <xf numFmtId="0" fontId="23" fillId="0" borderId="0" xfId="56" applyFont="1" applyAlignment="1" applyProtection="1">
      <alignment/>
      <protection hidden="1"/>
    </xf>
    <xf numFmtId="0" fontId="5" fillId="0" borderId="0" xfId="0" applyFont="1" applyBorder="1" applyAlignment="1" applyProtection="1" quotePrefix="1">
      <alignment horizontal="center"/>
      <protection hidden="1" locked="0"/>
    </xf>
    <xf numFmtId="0" fontId="5" fillId="0" borderId="0" xfId="0" applyFont="1" applyBorder="1" applyAlignment="1" applyProtection="1" quotePrefix="1">
      <alignment horizontal="right"/>
      <protection hidden="1" locked="0"/>
    </xf>
    <xf numFmtId="0" fontId="5" fillId="0" borderId="0" xfId="0" applyFont="1" applyBorder="1" applyAlignment="1" applyProtection="1">
      <alignment horizontal="right"/>
      <protection hidden="1" locked="0"/>
    </xf>
    <xf numFmtId="0" fontId="1" fillId="0" borderId="30" xfId="0" applyFont="1" applyBorder="1" applyAlignment="1" applyProtection="1">
      <alignment horizontal="centerContinuous"/>
      <protection hidden="1"/>
    </xf>
    <xf numFmtId="164" fontId="0" fillId="0" borderId="0" xfId="0" applyNumberFormat="1" applyBorder="1" applyAlignment="1" applyProtection="1">
      <alignment horizontal="center"/>
      <protection hidden="1" locked="0"/>
    </xf>
    <xf numFmtId="164" fontId="0" fillId="0" borderId="0" xfId="0" applyNumberFormat="1" applyBorder="1" applyAlignment="1" applyProtection="1">
      <alignment/>
      <protection hidden="1" locked="0"/>
    </xf>
    <xf numFmtId="171" fontId="0" fillId="0" borderId="0" xfId="42" applyNumberFormat="1" applyBorder="1" applyAlignment="1" applyProtection="1">
      <alignment/>
      <protection hidden="1" locked="0"/>
    </xf>
    <xf numFmtId="3" fontId="0" fillId="0" borderId="0" xfId="0" applyNumberFormat="1" applyBorder="1" applyAlignment="1" applyProtection="1">
      <alignment/>
      <protection hidden="1" locked="0"/>
    </xf>
    <xf numFmtId="0" fontId="1" fillId="0" borderId="14" xfId="0" applyFont="1" applyBorder="1" applyAlignment="1" applyProtection="1">
      <alignment horizontal="center"/>
      <protection hidden="1"/>
    </xf>
    <xf numFmtId="0" fontId="0" fillId="0" borderId="15" xfId="0" applyBorder="1" applyAlignment="1" applyProtection="1">
      <alignment/>
      <protection hidden="1"/>
    </xf>
    <xf numFmtId="0" fontId="1" fillId="0" borderId="15" xfId="0" applyFont="1" applyBorder="1" applyAlignment="1" applyProtection="1">
      <alignment horizontal="centerContinuous"/>
      <protection hidden="1"/>
    </xf>
    <xf numFmtId="0" fontId="1" fillId="0" borderId="91" xfId="0" applyFont="1" applyBorder="1" applyAlignment="1" applyProtection="1">
      <alignment horizontal="center"/>
      <protection hidden="1"/>
    </xf>
    <xf numFmtId="0" fontId="0" fillId="0" borderId="0" xfId="0" applyFont="1" applyFill="1" applyBorder="1" applyAlignment="1" applyProtection="1">
      <alignment horizontal="left"/>
      <protection hidden="1"/>
    </xf>
    <xf numFmtId="2" fontId="0" fillId="0" borderId="91" xfId="0" applyNumberFormat="1" applyFill="1" applyBorder="1" applyAlignment="1" applyProtection="1">
      <alignment horizontal="right"/>
      <protection hidden="1"/>
    </xf>
    <xf numFmtId="0" fontId="0" fillId="0" borderId="0" xfId="0" applyFont="1" applyFill="1" applyBorder="1" applyAlignment="1" applyProtection="1">
      <alignment horizontal="left" vertical="top"/>
      <protection hidden="1"/>
    </xf>
    <xf numFmtId="0" fontId="15" fillId="0" borderId="0" xfId="0" applyFont="1" applyFill="1" applyBorder="1" applyAlignment="1" applyProtection="1">
      <alignment horizontal="center" vertical="top"/>
      <protection hidden="1"/>
    </xf>
    <xf numFmtId="2" fontId="0" fillId="0" borderId="92" xfId="0" applyNumberFormat="1" applyFill="1" applyBorder="1" applyAlignment="1" applyProtection="1">
      <alignment horizontal="right"/>
      <protection hidden="1"/>
    </xf>
    <xf numFmtId="169" fontId="1" fillId="0" borderId="0" xfId="0" applyNumberFormat="1" applyFont="1" applyBorder="1" applyAlignment="1" applyProtection="1">
      <alignment/>
      <protection hidden="1" locked="0"/>
    </xf>
    <xf numFmtId="43" fontId="1" fillId="0" borderId="15" xfId="42" applyFont="1" applyBorder="1" applyAlignment="1" applyProtection="1">
      <alignment/>
      <protection hidden="1"/>
    </xf>
    <xf numFmtId="43" fontId="0" fillId="0" borderId="0" xfId="42" applyBorder="1" applyAlignment="1" applyProtection="1">
      <alignment/>
      <protection hidden="1"/>
    </xf>
    <xf numFmtId="43" fontId="0" fillId="0" borderId="47" xfId="42" applyBorder="1" applyAlignment="1" applyProtection="1">
      <alignment/>
      <protection hidden="1"/>
    </xf>
    <xf numFmtId="0" fontId="1" fillId="0" borderId="0" xfId="0" applyFont="1" applyBorder="1" applyAlignment="1" applyProtection="1">
      <alignment horizontal="centerContinuous"/>
      <protection hidden="1" locked="0"/>
    </xf>
    <xf numFmtId="0" fontId="0" fillId="0" borderId="0" xfId="0" applyBorder="1" applyAlignment="1" applyProtection="1">
      <alignment horizontal="centerContinuous"/>
      <protection hidden="1" locked="0"/>
    </xf>
    <xf numFmtId="0" fontId="1" fillId="0" borderId="93" xfId="0" applyFont="1" applyBorder="1" applyAlignment="1" applyProtection="1">
      <alignment horizontal="centerContinuous"/>
      <protection hidden="1"/>
    </xf>
    <xf numFmtId="0" fontId="1" fillId="0" borderId="76" xfId="0" applyFont="1" applyBorder="1" applyAlignment="1" applyProtection="1">
      <alignment horizontal="center"/>
      <protection hidden="1"/>
    </xf>
    <xf numFmtId="0" fontId="0" fillId="0" borderId="80" xfId="0" applyBorder="1" applyAlignment="1" applyProtection="1">
      <alignment horizontal="center"/>
      <protection hidden="1"/>
    </xf>
    <xf numFmtId="0" fontId="0" fillId="0" borderId="85" xfId="0" applyBorder="1" applyAlignment="1" applyProtection="1">
      <alignment horizontal="left"/>
      <protection hidden="1"/>
    </xf>
    <xf numFmtId="0" fontId="0" fillId="0" borderId="0" xfId="0" applyBorder="1" applyAlignment="1" applyProtection="1">
      <alignment horizontal="left"/>
      <protection hidden="1" locked="0"/>
    </xf>
    <xf numFmtId="2" fontId="0" fillId="0" borderId="20" xfId="42" applyNumberFormat="1" applyFont="1" applyBorder="1" applyAlignment="1" applyProtection="1">
      <alignment horizontal="center"/>
      <protection hidden="1"/>
    </xf>
    <xf numFmtId="2" fontId="1" fillId="0" borderId="85" xfId="42" applyNumberFormat="1" applyFont="1" applyBorder="1" applyAlignment="1" applyProtection="1">
      <alignment horizontal="center"/>
      <protection hidden="1"/>
    </xf>
    <xf numFmtId="2" fontId="0" fillId="0" borderId="20" xfId="0" applyNumberFormat="1" applyBorder="1" applyAlignment="1" applyProtection="1">
      <alignment horizontal="right"/>
      <protection hidden="1"/>
    </xf>
    <xf numFmtId="164" fontId="0" fillId="36" borderId="0" xfId="0" applyNumberFormat="1" applyFill="1" applyBorder="1" applyAlignment="1" applyProtection="1">
      <alignment/>
      <protection hidden="1" locked="0"/>
    </xf>
    <xf numFmtId="164" fontId="0" fillId="0" borderId="17" xfId="0" applyNumberFormat="1" applyFill="1" applyBorder="1" applyAlignment="1" applyProtection="1">
      <alignment/>
      <protection hidden="1"/>
    </xf>
    <xf numFmtId="2" fontId="0" fillId="0" borderId="15" xfId="42" applyNumberFormat="1" applyFont="1" applyBorder="1" applyAlignment="1" applyProtection="1">
      <alignment horizontal="center"/>
      <protection hidden="1"/>
    </xf>
    <xf numFmtId="2" fontId="0" fillId="0" borderId="37" xfId="42" applyNumberFormat="1" applyFont="1" applyBorder="1" applyAlignment="1" applyProtection="1">
      <alignment horizontal="center"/>
      <protection hidden="1"/>
    </xf>
    <xf numFmtId="2" fontId="0" fillId="0" borderId="0" xfId="0" applyNumberFormat="1" applyBorder="1" applyAlignment="1" applyProtection="1">
      <alignment/>
      <protection hidden="1" locked="0"/>
    </xf>
    <xf numFmtId="0" fontId="1" fillId="38" borderId="15" xfId="0" applyFont="1" applyFill="1" applyBorder="1" applyAlignment="1" applyProtection="1">
      <alignment/>
      <protection hidden="1"/>
    </xf>
    <xf numFmtId="2" fontId="1" fillId="0" borderId="94" xfId="0" applyNumberFormat="1" applyFont="1" applyBorder="1" applyAlignment="1" applyProtection="1">
      <alignment horizontal="right"/>
      <protection hidden="1"/>
    </xf>
    <xf numFmtId="0" fontId="0" fillId="0" borderId="72" xfId="0" applyBorder="1" applyAlignment="1" applyProtection="1">
      <alignment horizontal="center"/>
      <protection hidden="1"/>
    </xf>
    <xf numFmtId="0" fontId="1" fillId="0" borderId="87" xfId="0" applyFont="1" applyBorder="1" applyAlignment="1" applyProtection="1">
      <alignment/>
      <protection hidden="1"/>
    </xf>
    <xf numFmtId="0" fontId="1" fillId="0" borderId="88" xfId="0" applyFont="1" applyBorder="1" applyAlignment="1" applyProtection="1">
      <alignment/>
      <protection hidden="1"/>
    </xf>
    <xf numFmtId="0" fontId="1" fillId="0" borderId="14" xfId="0" applyFont="1" applyBorder="1" applyAlignment="1" applyProtection="1">
      <alignment/>
      <protection hidden="1"/>
    </xf>
    <xf numFmtId="0" fontId="1" fillId="0" borderId="89" xfId="0" applyFont="1" applyBorder="1" applyAlignment="1" applyProtection="1">
      <alignment horizontal="center"/>
      <protection hidden="1"/>
    </xf>
    <xf numFmtId="164" fontId="1" fillId="0" borderId="73" xfId="0" applyNumberFormat="1" applyFont="1" applyBorder="1" applyAlignment="1" applyProtection="1">
      <alignment/>
      <protection hidden="1"/>
    </xf>
    <xf numFmtId="164" fontId="1" fillId="0" borderId="75" xfId="0" applyNumberFormat="1" applyFont="1" applyBorder="1" applyAlignment="1" applyProtection="1">
      <alignment horizontal="center"/>
      <protection hidden="1"/>
    </xf>
    <xf numFmtId="0" fontId="1" fillId="0" borderId="81" xfId="0" applyFont="1" applyBorder="1" applyAlignment="1" applyProtection="1">
      <alignment/>
      <protection hidden="1"/>
    </xf>
    <xf numFmtId="164" fontId="23" fillId="0" borderId="0" xfId="56" applyNumberFormat="1" applyFont="1" applyBorder="1" applyAlignment="1" applyProtection="1">
      <alignment/>
      <protection hidden="1"/>
    </xf>
    <xf numFmtId="2" fontId="1" fillId="34" borderId="0" xfId="0" applyNumberFormat="1" applyFont="1" applyFill="1" applyBorder="1" applyAlignment="1" applyProtection="1">
      <alignment horizontal="right"/>
      <protection hidden="1"/>
    </xf>
    <xf numFmtId="2" fontId="1" fillId="37" borderId="0" xfId="0" applyNumberFormat="1" applyFont="1" applyFill="1" applyBorder="1" applyAlignment="1" applyProtection="1">
      <alignment horizontal="left"/>
      <protection hidden="1"/>
    </xf>
    <xf numFmtId="2" fontId="1" fillId="0" borderId="47" xfId="0" applyNumberFormat="1" applyFont="1" applyFill="1" applyBorder="1" applyAlignment="1" applyProtection="1">
      <alignment horizontal="right"/>
      <protection hidden="1"/>
    </xf>
    <xf numFmtId="2" fontId="1" fillId="37" borderId="49" xfId="0" applyNumberFormat="1" applyFont="1" applyFill="1" applyBorder="1" applyAlignment="1" applyProtection="1">
      <alignment horizontal="left"/>
      <protection hidden="1"/>
    </xf>
    <xf numFmtId="0" fontId="0" fillId="0" borderId="0" xfId="0" applyBorder="1" applyAlignment="1" applyProtection="1">
      <alignment horizontal="center"/>
      <protection hidden="1" locked="0"/>
    </xf>
    <xf numFmtId="2" fontId="0" fillId="0" borderId="0" xfId="0" applyNumberFormat="1" applyFont="1" applyBorder="1" applyAlignment="1" applyProtection="1">
      <alignment/>
      <protection hidden="1" locked="0"/>
    </xf>
    <xf numFmtId="164" fontId="1" fillId="0" borderId="0" xfId="0" applyNumberFormat="1" applyFont="1" applyBorder="1" applyAlignment="1" applyProtection="1">
      <alignment/>
      <protection hidden="1" locked="0"/>
    </xf>
    <xf numFmtId="2" fontId="1" fillId="0" borderId="0" xfId="0" applyNumberFormat="1" applyFont="1" applyBorder="1" applyAlignment="1" applyProtection="1">
      <alignment horizontal="right"/>
      <protection hidden="1" locked="0"/>
    </xf>
    <xf numFmtId="0" fontId="1" fillId="0" borderId="0" xfId="0" applyNumberFormat="1" applyFont="1" applyBorder="1" applyAlignment="1" applyProtection="1">
      <alignment/>
      <protection hidden="1" locked="0"/>
    </xf>
    <xf numFmtId="0" fontId="0" fillId="0" borderId="0" xfId="0" applyAlignment="1" applyProtection="1">
      <alignment horizontal="center"/>
      <protection hidden="1" locked="0"/>
    </xf>
    <xf numFmtId="2" fontId="0" fillId="0" borderId="0" xfId="0" applyNumberFormat="1" applyAlignment="1" applyProtection="1">
      <alignment/>
      <protection hidden="1" locked="0"/>
    </xf>
    <xf numFmtId="0" fontId="1" fillId="0" borderId="0" xfId="0" applyFont="1" applyBorder="1" applyAlignment="1" applyProtection="1">
      <alignment horizontal="center"/>
      <protection hidden="1" locked="0"/>
    </xf>
    <xf numFmtId="0" fontId="15" fillId="0" borderId="0" xfId="0" applyFont="1" applyBorder="1" applyAlignment="1" applyProtection="1">
      <alignment horizontal="center"/>
      <protection hidden="1" locked="0"/>
    </xf>
    <xf numFmtId="164" fontId="8" fillId="0" borderId="0" xfId="0" applyNumberFormat="1" applyFont="1" applyBorder="1" applyAlignment="1" applyProtection="1">
      <alignment/>
      <protection hidden="1" locked="0"/>
    </xf>
    <xf numFmtId="10" fontId="0" fillId="0" borderId="0" xfId="0" applyNumberFormat="1" applyBorder="1" applyAlignment="1" applyProtection="1">
      <alignment/>
      <protection hidden="1" locked="0"/>
    </xf>
    <xf numFmtId="0" fontId="1" fillId="0" borderId="14" xfId="0" applyFont="1" applyBorder="1" applyAlignment="1" applyProtection="1">
      <alignment horizontal="center"/>
      <protection hidden="1" locked="0"/>
    </xf>
    <xf numFmtId="0" fontId="1" fillId="0" borderId="60" xfId="0" applyFont="1" applyBorder="1" applyAlignment="1" applyProtection="1">
      <alignment horizontal="centerContinuous"/>
      <protection hidden="1" locked="0"/>
    </xf>
    <xf numFmtId="0" fontId="1" fillId="0" borderId="20" xfId="0" applyFont="1" applyBorder="1" applyAlignment="1" applyProtection="1">
      <alignment horizontal="center"/>
      <protection hidden="1" locked="0"/>
    </xf>
    <xf numFmtId="0" fontId="1" fillId="0" borderId="61" xfId="0" applyFont="1" applyBorder="1" applyAlignment="1" applyProtection="1">
      <alignment horizontal="centerContinuous"/>
      <protection hidden="1" locked="0"/>
    </xf>
    <xf numFmtId="1" fontId="0" fillId="0" borderId="0" xfId="0" applyNumberFormat="1" applyBorder="1" applyAlignment="1" applyProtection="1">
      <alignment/>
      <protection hidden="1" locked="0"/>
    </xf>
    <xf numFmtId="43" fontId="0" fillId="0" borderId="0" xfId="42" applyFont="1" applyBorder="1" applyAlignment="1" applyProtection="1">
      <alignment/>
      <protection hidden="1" locked="0"/>
    </xf>
    <xf numFmtId="3" fontId="0" fillId="0" borderId="0" xfId="0" applyNumberFormat="1" applyBorder="1" applyAlignment="1" applyProtection="1">
      <alignment horizontal="center"/>
      <protection hidden="1" locked="0"/>
    </xf>
    <xf numFmtId="4" fontId="1" fillId="0" borderId="0" xfId="0" applyNumberFormat="1" applyFont="1" applyBorder="1" applyAlignment="1" applyProtection="1">
      <alignment/>
      <protection hidden="1" locked="0"/>
    </xf>
    <xf numFmtId="0" fontId="0" fillId="0" borderId="0" xfId="0" applyBorder="1" applyAlignment="1" applyProtection="1">
      <alignment horizontal="right"/>
      <protection hidden="1" locked="0"/>
    </xf>
    <xf numFmtId="164" fontId="0" fillId="0" borderId="15" xfId="0" applyNumberFormat="1" applyBorder="1" applyAlignment="1" applyProtection="1">
      <alignment horizontal="center"/>
      <protection hidden="1" locked="0"/>
    </xf>
    <xf numFmtId="0" fontId="4" fillId="0" borderId="0" xfId="0" applyFont="1" applyBorder="1" applyAlignment="1" applyProtection="1">
      <alignment/>
      <protection hidden="1" locked="0"/>
    </xf>
    <xf numFmtId="1" fontId="0" fillId="0" borderId="0" xfId="0" applyNumberFormat="1" applyBorder="1" applyAlignment="1" applyProtection="1">
      <alignment horizontal="center"/>
      <protection hidden="1" locked="0"/>
    </xf>
    <xf numFmtId="0" fontId="0" fillId="33" borderId="0" xfId="0" applyFill="1" applyAlignment="1" applyProtection="1">
      <alignment horizontal="center"/>
      <protection hidden="1" locked="0"/>
    </xf>
    <xf numFmtId="0" fontId="0" fillId="33" borderId="0" xfId="0" applyFill="1" applyBorder="1" applyAlignment="1" applyProtection="1">
      <alignment/>
      <protection hidden="1" locked="0"/>
    </xf>
    <xf numFmtId="0" fontId="0" fillId="33" borderId="0" xfId="0" applyFill="1" applyAlignment="1" applyProtection="1">
      <alignment/>
      <protection hidden="1" locked="0"/>
    </xf>
    <xf numFmtId="0" fontId="5" fillId="0" borderId="0" xfId="0" applyFont="1" applyAlignment="1" applyProtection="1">
      <alignment horizontal="center"/>
      <protection hidden="1" locked="0"/>
    </xf>
    <xf numFmtId="0" fontId="5" fillId="0" borderId="0" xfId="0" applyFont="1" applyAlignment="1" applyProtection="1">
      <alignment/>
      <protection hidden="1" locked="0"/>
    </xf>
    <xf numFmtId="0" fontId="5" fillId="0" borderId="15" xfId="0" applyFont="1" applyBorder="1" applyAlignment="1" applyProtection="1">
      <alignment horizontal="center"/>
      <protection hidden="1" locked="0"/>
    </xf>
    <xf numFmtId="0" fontId="5" fillId="0" borderId="15" xfId="0" applyFont="1" applyBorder="1" applyAlignment="1" applyProtection="1">
      <alignment/>
      <protection hidden="1" locked="0"/>
    </xf>
    <xf numFmtId="0" fontId="5" fillId="0" borderId="0" xfId="0" applyFont="1" applyAlignment="1" applyProtection="1">
      <alignment shrinkToFit="1"/>
      <protection hidden="1" locked="0"/>
    </xf>
    <xf numFmtId="0" fontId="5" fillId="0" borderId="0" xfId="0" applyFont="1" applyAlignment="1" applyProtection="1">
      <alignment/>
      <protection hidden="1"/>
    </xf>
    <xf numFmtId="0" fontId="0" fillId="0" borderId="15" xfId="0" applyBorder="1" applyAlignment="1" applyProtection="1">
      <alignment horizontal="center"/>
      <protection hidden="1" locked="0"/>
    </xf>
    <xf numFmtId="0" fontId="0" fillId="0" borderId="15" xfId="0" applyBorder="1" applyAlignment="1" applyProtection="1">
      <alignment/>
      <protection hidden="1" locked="0"/>
    </xf>
    <xf numFmtId="164" fontId="0" fillId="0" borderId="0" xfId="0" applyNumberFormat="1" applyAlignment="1" applyProtection="1">
      <alignment/>
      <protection hidden="1" locked="0"/>
    </xf>
    <xf numFmtId="10" fontId="0" fillId="0" borderId="0" xfId="64" applyNumberFormat="1" applyFont="1" applyAlignment="1" applyProtection="1">
      <alignment/>
      <protection hidden="1" locked="0"/>
    </xf>
    <xf numFmtId="0" fontId="0" fillId="0" borderId="15" xfId="0" applyFill="1" applyBorder="1" applyAlignment="1" applyProtection="1">
      <alignment horizontal="center"/>
      <protection hidden="1" locked="0"/>
    </xf>
    <xf numFmtId="164" fontId="1" fillId="0" borderId="18" xfId="0" applyNumberFormat="1" applyFont="1" applyFill="1" applyBorder="1" applyAlignment="1" applyProtection="1">
      <alignment/>
      <protection hidden="1"/>
    </xf>
    <xf numFmtId="0" fontId="8" fillId="38" borderId="95" xfId="0" applyFont="1" applyFill="1" applyBorder="1" applyAlignment="1" applyProtection="1">
      <alignment horizontal="center"/>
      <protection hidden="1"/>
    </xf>
    <xf numFmtId="0" fontId="1" fillId="38" borderId="28" xfId="0" applyFont="1" applyFill="1" applyBorder="1" applyAlignment="1" applyProtection="1">
      <alignment/>
      <protection hidden="1"/>
    </xf>
    <xf numFmtId="0" fontId="1" fillId="38" borderId="15" xfId="0" applyFont="1" applyFill="1" applyBorder="1" applyAlignment="1" applyProtection="1">
      <alignment horizontal="center"/>
      <protection hidden="1"/>
    </xf>
    <xf numFmtId="164" fontId="1" fillId="38" borderId="17" xfId="0" applyNumberFormat="1" applyFont="1" applyFill="1" applyBorder="1" applyAlignment="1" applyProtection="1">
      <alignment horizontal="center"/>
      <protection hidden="1"/>
    </xf>
    <xf numFmtId="164" fontId="1" fillId="38" borderId="18" xfId="0" applyNumberFormat="1" applyFont="1" applyFill="1" applyBorder="1" applyAlignment="1" applyProtection="1">
      <alignment/>
      <protection hidden="1"/>
    </xf>
    <xf numFmtId="14" fontId="1" fillId="34" borderId="0" xfId="0" applyNumberFormat="1" applyFont="1" applyFill="1" applyBorder="1" applyAlignment="1" applyProtection="1">
      <alignment horizontal="right"/>
      <protection hidden="1"/>
    </xf>
    <xf numFmtId="0" fontId="0" fillId="34" borderId="0" xfId="0" applyFill="1" applyBorder="1" applyAlignment="1" applyProtection="1">
      <alignment horizontal="right"/>
      <protection hidden="1"/>
    </xf>
    <xf numFmtId="0" fontId="0" fillId="34" borderId="0" xfId="0" applyFill="1" applyBorder="1" applyAlignment="1" applyProtection="1">
      <alignment/>
      <protection hidden="1"/>
    </xf>
    <xf numFmtId="0" fontId="16" fillId="0" borderId="24" xfId="56" applyBorder="1" applyAlignment="1" applyProtection="1">
      <alignment horizontal="right"/>
      <protection hidden="1"/>
    </xf>
    <xf numFmtId="0" fontId="0" fillId="0" borderId="0" xfId="0" applyBorder="1" applyAlignment="1" applyProtection="1">
      <alignment shrinkToFit="1"/>
      <protection hidden="1"/>
    </xf>
    <xf numFmtId="0" fontId="23" fillId="0" borderId="30" xfId="56" applyFont="1" applyBorder="1" applyAlignment="1" applyProtection="1">
      <alignment/>
      <protection hidden="1"/>
    </xf>
    <xf numFmtId="0" fontId="8" fillId="0" borderId="15" xfId="0" applyFont="1" applyBorder="1" applyAlignment="1" applyProtection="1">
      <alignment horizontal="center" vertical="center"/>
      <protection hidden="1"/>
    </xf>
    <xf numFmtId="4" fontId="0" fillId="0" borderId="20" xfId="0" applyNumberFormat="1" applyBorder="1" applyAlignment="1" applyProtection="1">
      <alignment horizontal="center" vertical="center"/>
      <protection hidden="1"/>
    </xf>
    <xf numFmtId="3" fontId="0" fillId="0" borderId="37" xfId="0" applyNumberFormat="1" applyBorder="1" applyAlignment="1" applyProtection="1">
      <alignment horizontal="center" vertical="center"/>
      <protection hidden="1"/>
    </xf>
    <xf numFmtId="4" fontId="0" fillId="0" borderId="20" xfId="0" applyNumberFormat="1" applyFont="1" applyBorder="1" applyAlignment="1" applyProtection="1">
      <alignment horizontal="center" vertic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1" fillId="0" borderId="35" xfId="0" applyFont="1" applyBorder="1" applyAlignment="1" applyProtection="1">
      <alignment horizontal="center"/>
      <protection hidden="1"/>
    </xf>
    <xf numFmtId="0" fontId="1" fillId="0" borderId="96" xfId="0" applyFont="1" applyBorder="1" applyAlignment="1" applyProtection="1">
      <alignment horizontal="centerContinuous"/>
      <protection hidden="1"/>
    </xf>
    <xf numFmtId="0" fontId="1" fillId="0" borderId="15" xfId="0" applyFont="1" applyFill="1" applyBorder="1" applyAlignment="1" applyProtection="1">
      <alignment horizontal="left"/>
      <protection hidden="1"/>
    </xf>
    <xf numFmtId="43" fontId="1" fillId="0" borderId="97" xfId="42" applyNumberFormat="1" applyFont="1" applyFill="1" applyBorder="1" applyAlignment="1" applyProtection="1">
      <alignment horizontal="right"/>
      <protection hidden="1"/>
    </xf>
    <xf numFmtId="43" fontId="0" fillId="0" borderId="15" xfId="0" applyNumberFormat="1" applyBorder="1" applyAlignment="1" applyProtection="1">
      <alignment horizontal="right"/>
      <protection hidden="1"/>
    </xf>
    <xf numFmtId="43" fontId="0" fillId="0" borderId="98" xfId="0" applyNumberFormat="1" applyBorder="1" applyAlignment="1" applyProtection="1">
      <alignment horizontal="right"/>
      <protection hidden="1"/>
    </xf>
    <xf numFmtId="3" fontId="1" fillId="37" borderId="56" xfId="0" applyNumberFormat="1" applyFont="1" applyFill="1" applyBorder="1" applyAlignment="1" applyProtection="1">
      <alignment/>
      <protection hidden="1"/>
    </xf>
    <xf numFmtId="3" fontId="1" fillId="0" borderId="57" xfId="0" applyNumberFormat="1" applyFont="1" applyBorder="1" applyAlignment="1" applyProtection="1">
      <alignment/>
      <protection hidden="1"/>
    </xf>
    <xf numFmtId="3" fontId="1" fillId="0" borderId="21" xfId="0" applyNumberFormat="1" applyFont="1" applyBorder="1" applyAlignment="1" applyProtection="1">
      <alignment/>
      <protection hidden="1"/>
    </xf>
    <xf numFmtId="43" fontId="0" fillId="0" borderId="59" xfId="0" applyNumberFormat="1" applyBorder="1" applyAlignment="1" applyProtection="1">
      <alignment horizontal="right"/>
      <protection hidden="1"/>
    </xf>
    <xf numFmtId="43" fontId="0" fillId="0" borderId="60" xfId="0" applyNumberFormat="1" applyBorder="1" applyAlignment="1" applyProtection="1">
      <alignment horizontal="right"/>
      <protection hidden="1"/>
    </xf>
    <xf numFmtId="43" fontId="0" fillId="0" borderId="99" xfId="0" applyNumberFormat="1" applyBorder="1" applyAlignment="1" applyProtection="1">
      <alignment horizontal="right"/>
      <protection hidden="1"/>
    </xf>
    <xf numFmtId="0" fontId="23" fillId="0" borderId="24" xfId="56" applyFont="1" applyBorder="1" applyAlignment="1" applyProtection="1">
      <alignment/>
      <protection hidden="1"/>
    </xf>
    <xf numFmtId="0" fontId="1" fillId="0" borderId="100" xfId="0" applyFont="1" applyBorder="1" applyAlignment="1" applyProtection="1">
      <alignment horizontal="centerContinuous"/>
      <protection hidden="1"/>
    </xf>
    <xf numFmtId="0" fontId="1" fillId="0" borderId="73" xfId="0" applyFont="1" applyBorder="1" applyAlignment="1" applyProtection="1">
      <alignment horizontal="centerContinuous"/>
      <protection hidden="1"/>
    </xf>
    <xf numFmtId="0" fontId="1" fillId="0" borderId="75" xfId="0" applyFont="1" applyBorder="1" applyAlignment="1" applyProtection="1">
      <alignment horizontal="centerContinuous"/>
      <protection hidden="1"/>
    </xf>
    <xf numFmtId="43" fontId="0" fillId="0" borderId="20" xfId="42" applyFont="1" applyBorder="1" applyAlignment="1" applyProtection="1">
      <alignment horizontal="center"/>
      <protection hidden="1"/>
    </xf>
    <xf numFmtId="43" fontId="0" fillId="0" borderId="84" xfId="42" applyFont="1" applyBorder="1" applyAlignment="1" applyProtection="1">
      <alignment horizontal="center"/>
      <protection hidden="1"/>
    </xf>
    <xf numFmtId="43" fontId="1" fillId="0" borderId="93" xfId="42" applyFont="1" applyBorder="1" applyAlignment="1" applyProtection="1">
      <alignment horizontal="right"/>
      <protection hidden="1"/>
    </xf>
    <xf numFmtId="43" fontId="0" fillId="0" borderId="83" xfId="42" applyFont="1" applyBorder="1" applyAlignment="1" applyProtection="1">
      <alignment horizontal="center"/>
      <protection hidden="1"/>
    </xf>
    <xf numFmtId="43" fontId="1" fillId="0" borderId="54" xfId="42" applyFont="1" applyBorder="1" applyAlignment="1" applyProtection="1">
      <alignment horizontal="right"/>
      <protection hidden="1"/>
    </xf>
    <xf numFmtId="2" fontId="1" fillId="38" borderId="18" xfId="0" applyNumberFormat="1" applyFont="1" applyFill="1" applyBorder="1" applyAlignment="1" applyProtection="1">
      <alignment/>
      <protection hidden="1"/>
    </xf>
    <xf numFmtId="43" fontId="0" fillId="0" borderId="15" xfId="42" applyFont="1" applyBorder="1" applyAlignment="1" applyProtection="1">
      <alignment horizontal="center"/>
      <protection hidden="1"/>
    </xf>
    <xf numFmtId="2" fontId="1" fillId="0" borderId="54" xfId="0" applyNumberFormat="1" applyFont="1" applyBorder="1" applyAlignment="1" applyProtection="1">
      <alignment horizontal="right"/>
      <protection hidden="1"/>
    </xf>
    <xf numFmtId="2" fontId="1" fillId="0" borderId="53" xfId="0" applyNumberFormat="1" applyFont="1" applyBorder="1" applyAlignment="1" applyProtection="1">
      <alignment horizontal="right"/>
      <protection hidden="1"/>
    </xf>
    <xf numFmtId="0" fontId="1" fillId="0" borderId="73" xfId="0" applyFont="1" applyBorder="1" applyAlignment="1" applyProtection="1">
      <alignment/>
      <protection hidden="1"/>
    </xf>
    <xf numFmtId="43" fontId="1" fillId="0" borderId="101" xfId="42" applyFont="1" applyBorder="1" applyAlignment="1" applyProtection="1">
      <alignment horizontal="right"/>
      <protection hidden="1"/>
    </xf>
    <xf numFmtId="0" fontId="0" fillId="0" borderId="24" xfId="0" applyFont="1" applyFill="1" applyBorder="1" applyAlignment="1" applyProtection="1">
      <alignment horizontal="left" vertical="top"/>
      <protection hidden="1"/>
    </xf>
    <xf numFmtId="0" fontId="0" fillId="0" borderId="0" xfId="0" applyFont="1" applyFill="1" applyBorder="1" applyAlignment="1" applyProtection="1">
      <alignment/>
      <protection hidden="1"/>
    </xf>
    <xf numFmtId="2" fontId="1" fillId="37" borderId="0" xfId="0" applyNumberFormat="1" applyFont="1" applyFill="1" applyBorder="1" applyAlignment="1" applyProtection="1">
      <alignment horizontal="right"/>
      <protection hidden="1"/>
    </xf>
    <xf numFmtId="14" fontId="1" fillId="0" borderId="102" xfId="0" applyNumberFormat="1" applyFont="1" applyFill="1" applyBorder="1" applyAlignment="1" applyProtection="1">
      <alignment horizontal="right"/>
      <protection hidden="1"/>
    </xf>
    <xf numFmtId="0" fontId="0" fillId="0" borderId="103" xfId="0" applyFill="1" applyBorder="1" applyAlignment="1" applyProtection="1">
      <alignment horizontal="right"/>
      <protection hidden="1"/>
    </xf>
    <xf numFmtId="0" fontId="0" fillId="0" borderId="104" xfId="0" applyFill="1" applyBorder="1" applyAlignment="1" applyProtection="1">
      <alignment horizontal="right"/>
      <protection hidden="1"/>
    </xf>
    <xf numFmtId="0" fontId="0" fillId="0" borderId="24" xfId="0" applyFont="1" applyFill="1" applyBorder="1" applyAlignment="1" applyProtection="1">
      <alignment/>
      <protection hidden="1"/>
    </xf>
    <xf numFmtId="2" fontId="1" fillId="0" borderId="105" xfId="0" applyNumberFormat="1" applyFont="1" applyFill="1" applyBorder="1" applyAlignment="1" applyProtection="1">
      <alignment horizontal="right"/>
      <protection hidden="1"/>
    </xf>
    <xf numFmtId="0" fontId="0" fillId="0" borderId="23" xfId="0" applyFill="1" applyBorder="1" applyAlignment="1" applyProtection="1">
      <alignment/>
      <protection hidden="1"/>
    </xf>
    <xf numFmtId="0" fontId="0" fillId="0" borderId="106" xfId="0" applyFill="1" applyBorder="1" applyAlignment="1" applyProtection="1">
      <alignment/>
      <protection hidden="1"/>
    </xf>
    <xf numFmtId="0" fontId="0" fillId="0" borderId="107" xfId="0" applyFill="1" applyBorder="1" applyAlignment="1" applyProtection="1">
      <alignment/>
      <protection hidden="1"/>
    </xf>
    <xf numFmtId="0" fontId="0" fillId="0" borderId="26" xfId="0" applyFill="1" applyBorder="1" applyAlignment="1" applyProtection="1">
      <alignment/>
      <protection hidden="1"/>
    </xf>
    <xf numFmtId="0" fontId="0" fillId="0" borderId="108" xfId="0" applyFill="1" applyBorder="1" applyAlignment="1" applyProtection="1">
      <alignment/>
      <protection hidden="1"/>
    </xf>
    <xf numFmtId="178" fontId="32" fillId="0" borderId="0" xfId="0" applyNumberFormat="1" applyFont="1" applyFill="1" applyBorder="1" applyAlignment="1" applyProtection="1">
      <alignment horizontal="left"/>
      <protection hidden="1"/>
    </xf>
    <xf numFmtId="10" fontId="22" fillId="0" borderId="0" xfId="64" applyNumberFormat="1" applyFont="1" applyAlignment="1">
      <alignment horizontal="left"/>
    </xf>
    <xf numFmtId="0" fontId="22" fillId="0" borderId="0" xfId="0" applyFont="1" applyAlignment="1">
      <alignment horizontal="center"/>
    </xf>
    <xf numFmtId="44" fontId="22" fillId="0" borderId="0" xfId="0" applyNumberFormat="1" applyFont="1" applyAlignment="1">
      <alignment/>
    </xf>
    <xf numFmtId="43" fontId="1" fillId="0" borderId="55" xfId="42" applyNumberFormat="1" applyFont="1" applyBorder="1" applyAlignment="1" applyProtection="1">
      <alignment/>
      <protection hidden="1" locked="0"/>
    </xf>
    <xf numFmtId="43" fontId="1" fillId="0" borderId="90" xfId="42" applyFont="1" applyBorder="1" applyAlignment="1" applyProtection="1">
      <alignment horizontal="right"/>
      <protection hidden="1" locked="0"/>
    </xf>
    <xf numFmtId="43" fontId="1" fillId="0" borderId="73" xfId="42" applyFont="1" applyBorder="1" applyAlignment="1" applyProtection="1">
      <alignment horizontal="right"/>
      <protection hidden="1" locked="0"/>
    </xf>
    <xf numFmtId="43" fontId="1" fillId="0" borderId="74" xfId="42" applyFont="1" applyBorder="1" applyAlignment="1" applyProtection="1">
      <alignment horizontal="right"/>
      <protection hidden="1" locked="0"/>
    </xf>
    <xf numFmtId="43" fontId="1" fillId="0" borderId="89" xfId="42" applyFont="1" applyBorder="1" applyAlignment="1" applyProtection="1">
      <alignment/>
      <protection hidden="1" locked="0"/>
    </xf>
    <xf numFmtId="43" fontId="1" fillId="0" borderId="75" xfId="42" applyFont="1" applyBorder="1" applyAlignment="1" applyProtection="1">
      <alignment horizontal="center"/>
      <protection hidden="1" locked="0"/>
    </xf>
    <xf numFmtId="43" fontId="1" fillId="0" borderId="100" xfId="42" applyFont="1" applyBorder="1" applyAlignment="1" applyProtection="1">
      <alignment horizontal="center"/>
      <protection hidden="1" locked="0"/>
    </xf>
    <xf numFmtId="43" fontId="1" fillId="0" borderId="73" xfId="42" applyFont="1" applyBorder="1" applyAlignment="1" applyProtection="1">
      <alignment horizontal="center"/>
      <protection hidden="1" locked="0"/>
    </xf>
    <xf numFmtId="43" fontId="1" fillId="0" borderId="101" xfId="42" applyNumberFormat="1" applyFont="1" applyBorder="1" applyAlignment="1" applyProtection="1">
      <alignment horizontal="center"/>
      <protection hidden="1" locked="0"/>
    </xf>
    <xf numFmtId="43" fontId="1" fillId="0" borderId="93" xfId="42" applyNumberFormat="1" applyFont="1" applyBorder="1" applyAlignment="1" applyProtection="1">
      <alignment horizontal="center"/>
      <protection hidden="1" locked="0"/>
    </xf>
    <xf numFmtId="43" fontId="1" fillId="0" borderId="85" xfId="42" applyNumberFormat="1" applyFont="1" applyBorder="1" applyAlignment="1" applyProtection="1">
      <alignment horizontal="center"/>
      <protection hidden="1" locked="0"/>
    </xf>
    <xf numFmtId="0" fontId="1" fillId="0" borderId="90" xfId="0" applyFont="1" applyBorder="1" applyAlignment="1" applyProtection="1">
      <alignment horizontal="centerContinuous"/>
      <protection hidden="1"/>
    </xf>
    <xf numFmtId="0" fontId="1" fillId="0" borderId="74" xfId="0" applyFont="1" applyBorder="1" applyAlignment="1" applyProtection="1">
      <alignment horizontal="centerContinuous"/>
      <protection hidden="1"/>
    </xf>
    <xf numFmtId="0" fontId="0" fillId="0" borderId="109" xfId="0" applyBorder="1" applyAlignment="1" applyProtection="1">
      <alignment horizontal="left"/>
      <protection hidden="1"/>
    </xf>
    <xf numFmtId="2" fontId="1" fillId="0" borderId="110" xfId="0" applyNumberFormat="1" applyFont="1" applyBorder="1" applyAlignment="1" applyProtection="1">
      <alignment horizontal="right"/>
      <protection hidden="1" locked="0"/>
    </xf>
    <xf numFmtId="2" fontId="1" fillId="0" borderId="98" xfId="0" applyNumberFormat="1" applyFont="1" applyBorder="1" applyAlignment="1" applyProtection="1">
      <alignment horizontal="right"/>
      <protection hidden="1" locked="0"/>
    </xf>
    <xf numFmtId="2" fontId="1" fillId="0" borderId="98" xfId="0" applyNumberFormat="1" applyFont="1" applyBorder="1" applyAlignment="1" applyProtection="1">
      <alignment horizontal="right"/>
      <protection hidden="1"/>
    </xf>
    <xf numFmtId="43" fontId="1" fillId="0" borderId="99" xfId="42" applyFont="1" applyBorder="1" applyAlignment="1" applyProtection="1">
      <alignment horizontal="right"/>
      <protection hidden="1" locked="0"/>
    </xf>
    <xf numFmtId="2" fontId="22" fillId="0" borderId="47" xfId="0" applyNumberFormat="1" applyFont="1" applyBorder="1" applyAlignment="1" applyProtection="1">
      <alignment horizontal="right"/>
      <protection hidden="1"/>
    </xf>
    <xf numFmtId="0" fontId="1" fillId="0" borderId="111" xfId="0" applyFont="1" applyBorder="1" applyAlignment="1" applyProtection="1">
      <alignment horizontal="center"/>
      <protection hidden="1"/>
    </xf>
    <xf numFmtId="0" fontId="1" fillId="0" borderId="47" xfId="0" applyFont="1" applyFill="1" applyBorder="1" applyAlignment="1" applyProtection="1">
      <alignment horizontal="center"/>
      <protection hidden="1"/>
    </xf>
    <xf numFmtId="0" fontId="1" fillId="0" borderId="47" xfId="0" applyFont="1" applyBorder="1" applyAlignment="1" applyProtection="1">
      <alignment horizontal="center" wrapText="1"/>
      <protection hidden="1"/>
    </xf>
    <xf numFmtId="43" fontId="1" fillId="0" borderId="47" xfId="42" applyFont="1" applyBorder="1" applyAlignment="1" applyProtection="1">
      <alignment horizontal="right"/>
      <protection hidden="1" locked="0"/>
    </xf>
    <xf numFmtId="164" fontId="0" fillId="33" borderId="112" xfId="0" applyNumberFormat="1" applyFill="1" applyBorder="1" applyAlignment="1" applyProtection="1">
      <alignment/>
      <protection locked="0"/>
    </xf>
    <xf numFmtId="164" fontId="0" fillId="33" borderId="113" xfId="0" applyNumberFormat="1" applyFill="1" applyBorder="1" applyAlignment="1" applyProtection="1">
      <alignment/>
      <protection locked="0"/>
    </xf>
    <xf numFmtId="0" fontId="0" fillId="33" borderId="114" xfId="0" applyNumberFormat="1" applyFill="1" applyBorder="1" applyAlignment="1" applyProtection="1">
      <alignment/>
      <protection locked="0"/>
    </xf>
    <xf numFmtId="10" fontId="22" fillId="0" borderId="0" xfId="0" applyNumberFormat="1" applyFont="1" applyAlignment="1" applyProtection="1">
      <alignment/>
      <protection/>
    </xf>
    <xf numFmtId="0" fontId="22" fillId="0" borderId="0" xfId="0" applyFont="1" applyAlignment="1">
      <alignment horizontal="right"/>
    </xf>
    <xf numFmtId="10" fontId="22" fillId="0" borderId="0" xfId="64" applyNumberFormat="1" applyFont="1" applyAlignment="1">
      <alignment/>
    </xf>
    <xf numFmtId="10" fontId="0" fillId="0" borderId="0" xfId="0" applyNumberFormat="1" applyAlignment="1" applyProtection="1">
      <alignment/>
      <protection/>
    </xf>
    <xf numFmtId="0" fontId="0" fillId="0" borderId="0" xfId="0" applyAlignment="1">
      <alignment/>
    </xf>
    <xf numFmtId="44" fontId="0" fillId="0" borderId="0" xfId="0" applyNumberFormat="1" applyAlignment="1">
      <alignment/>
    </xf>
    <xf numFmtId="10" fontId="0" fillId="0" borderId="0" xfId="64" applyNumberFormat="1" applyAlignment="1">
      <alignment/>
    </xf>
    <xf numFmtId="0" fontId="0" fillId="0" borderId="0" xfId="0" applyNumberFormat="1" applyBorder="1" applyAlignment="1" applyProtection="1">
      <alignment/>
      <protection locked="0"/>
    </xf>
    <xf numFmtId="3" fontId="0" fillId="0" borderId="0" xfId="0" applyNumberFormat="1" applyBorder="1" applyAlignment="1" applyProtection="1">
      <alignment horizontal="right"/>
      <protection hidden="1"/>
    </xf>
    <xf numFmtId="200" fontId="0" fillId="0" borderId="0" xfId="0" applyNumberFormat="1" applyBorder="1" applyAlignment="1" applyProtection="1">
      <alignment/>
      <protection hidden="1"/>
    </xf>
    <xf numFmtId="0" fontId="0" fillId="0" borderId="115" xfId="0" applyBorder="1" applyAlignment="1">
      <alignment/>
    </xf>
    <xf numFmtId="10" fontId="0" fillId="0" borderId="115" xfId="0" applyNumberFormat="1" applyBorder="1" applyAlignment="1">
      <alignment/>
    </xf>
    <xf numFmtId="44" fontId="0" fillId="0" borderId="116" xfId="0" applyNumberFormat="1" applyBorder="1" applyAlignment="1">
      <alignment/>
    </xf>
    <xf numFmtId="10" fontId="0" fillId="0" borderId="117" xfId="0" applyNumberFormat="1" applyBorder="1" applyAlignment="1">
      <alignment/>
    </xf>
    <xf numFmtId="0" fontId="0" fillId="0" borderId="0" xfId="0" applyFill="1" applyAlignment="1">
      <alignment horizontal="right"/>
    </xf>
    <xf numFmtId="0" fontId="0" fillId="0" borderId="118" xfId="0" applyBorder="1" applyAlignment="1">
      <alignment/>
    </xf>
    <xf numFmtId="0" fontId="0" fillId="0" borderId="45" xfId="0" applyBorder="1" applyAlignment="1" applyProtection="1">
      <alignment horizontal="right"/>
      <protection hidden="1"/>
    </xf>
    <xf numFmtId="0" fontId="0" fillId="0" borderId="45" xfId="0" applyBorder="1" applyAlignment="1" applyProtection="1">
      <alignment horizontal="left"/>
      <protection hidden="1"/>
    </xf>
    <xf numFmtId="0" fontId="0" fillId="0" borderId="44" xfId="0" applyBorder="1" applyAlignment="1" applyProtection="1">
      <alignment/>
      <protection hidden="1"/>
    </xf>
    <xf numFmtId="0" fontId="0" fillId="0" borderId="119" xfId="0" applyBorder="1" applyAlignment="1" applyProtection="1">
      <alignment/>
      <protection hidden="1"/>
    </xf>
    <xf numFmtId="0" fontId="0" fillId="0" borderId="36" xfId="0" applyBorder="1" applyAlignment="1" applyProtection="1">
      <alignment/>
      <protection hidden="1"/>
    </xf>
    <xf numFmtId="0" fontId="0" fillId="0" borderId="120" xfId="0" applyBorder="1" applyAlignment="1" applyProtection="1">
      <alignment/>
      <protection hidden="1"/>
    </xf>
    <xf numFmtId="0" fontId="3" fillId="0" borderId="35" xfId="0" applyFont="1" applyBorder="1" applyAlignment="1" applyProtection="1">
      <alignment horizontal="left"/>
      <protection hidden="1"/>
    </xf>
    <xf numFmtId="9" fontId="0" fillId="0" borderId="83" xfId="64" applyFont="1" applyFill="1" applyBorder="1" applyAlignment="1" applyProtection="1">
      <alignment horizontal="center"/>
      <protection hidden="1"/>
    </xf>
    <xf numFmtId="9" fontId="1" fillId="0" borderId="75" xfId="64" applyFont="1" applyBorder="1" applyAlignment="1" applyProtection="1">
      <alignment horizontal="center"/>
      <protection hidden="1" locked="0"/>
    </xf>
    <xf numFmtId="164" fontId="32" fillId="0" borderId="0" xfId="0" applyNumberFormat="1" applyFont="1" applyFill="1" applyBorder="1" applyAlignment="1" applyProtection="1">
      <alignment horizontal="left"/>
      <protection hidden="1"/>
    </xf>
    <xf numFmtId="43" fontId="0" fillId="34" borderId="27" xfId="42" applyFont="1" applyFill="1" applyBorder="1" applyAlignment="1" applyProtection="1">
      <alignment horizontal="right"/>
      <protection locked="0"/>
    </xf>
    <xf numFmtId="43" fontId="0" fillId="0" borderId="121" xfId="42" applyFont="1" applyFill="1" applyBorder="1" applyAlignment="1" applyProtection="1">
      <alignment horizontal="right"/>
      <protection hidden="1"/>
    </xf>
    <xf numFmtId="43" fontId="0" fillId="34" borderId="28" xfId="42" applyFont="1" applyFill="1" applyBorder="1" applyAlignment="1" applyProtection="1">
      <alignment horizontal="right"/>
      <protection locked="0"/>
    </xf>
    <xf numFmtId="43" fontId="1" fillId="0" borderId="47" xfId="42" applyFont="1" applyBorder="1" applyAlignment="1" applyProtection="1">
      <alignment/>
      <protection hidden="1"/>
    </xf>
    <xf numFmtId="9" fontId="22" fillId="0" borderId="0" xfId="64" applyFont="1" applyAlignment="1">
      <alignment horizontal="left"/>
    </xf>
    <xf numFmtId="9" fontId="1" fillId="0" borderId="0" xfId="64" applyFont="1" applyAlignment="1">
      <alignment horizontal="left"/>
    </xf>
    <xf numFmtId="10" fontId="0" fillId="0" borderId="0" xfId="0" applyNumberFormat="1" applyAlignment="1" applyProtection="1">
      <alignment horizontal="center"/>
      <protection/>
    </xf>
    <xf numFmtId="10" fontId="0" fillId="33" borderId="0" xfId="0" applyNumberFormat="1" applyFill="1" applyAlignment="1" applyProtection="1">
      <alignment horizontal="center"/>
      <protection/>
    </xf>
    <xf numFmtId="0" fontId="0" fillId="0" borderId="12" xfId="0" applyBorder="1" applyAlignment="1">
      <alignment horizontal="center"/>
    </xf>
    <xf numFmtId="0" fontId="0" fillId="0" borderId="16" xfId="0" applyBorder="1" applyAlignment="1">
      <alignment horizontal="center"/>
    </xf>
    <xf numFmtId="49" fontId="0" fillId="0" borderId="0" xfId="0" applyNumberFormat="1" applyFill="1" applyAlignment="1">
      <alignment horizontal="center"/>
    </xf>
    <xf numFmtId="0" fontId="0" fillId="33" borderId="0" xfId="0" applyFill="1" applyAlignment="1">
      <alignment horizontal="center"/>
    </xf>
    <xf numFmtId="0" fontId="0" fillId="0" borderId="13" xfId="0" applyBorder="1" applyAlignment="1">
      <alignment horizontal="center"/>
    </xf>
    <xf numFmtId="0" fontId="0" fillId="0" borderId="11" xfId="0" applyBorder="1" applyAlignment="1">
      <alignment horizontal="center"/>
    </xf>
    <xf numFmtId="177" fontId="0" fillId="0" borderId="0" xfId="0" applyNumberFormat="1" applyAlignment="1">
      <alignment horizontal="center"/>
    </xf>
    <xf numFmtId="194" fontId="0" fillId="0" borderId="0" xfId="45" applyNumberFormat="1" applyFont="1" applyAlignment="1">
      <alignment horizontal="center"/>
    </xf>
    <xf numFmtId="0" fontId="30" fillId="0" borderId="0" xfId="0" applyFont="1" applyAlignment="1">
      <alignment horizontal="center"/>
    </xf>
    <xf numFmtId="0" fontId="0" fillId="0" borderId="0" xfId="0" applyAlignment="1" quotePrefix="1">
      <alignment horizontal="center"/>
    </xf>
    <xf numFmtId="44" fontId="0" fillId="0" borderId="116" xfId="0" applyNumberFormat="1" applyBorder="1" applyAlignment="1">
      <alignment horizontal="center"/>
    </xf>
    <xf numFmtId="10" fontId="0" fillId="0" borderId="117" xfId="0" applyNumberFormat="1" applyBorder="1" applyAlignment="1">
      <alignment horizontal="center"/>
    </xf>
    <xf numFmtId="194" fontId="0" fillId="0" borderId="0" xfId="45" applyNumberFormat="1" applyAlignment="1">
      <alignment horizontal="center"/>
    </xf>
    <xf numFmtId="44" fontId="0" fillId="0" borderId="0" xfId="0" applyNumberFormat="1" applyBorder="1" applyAlignment="1">
      <alignment horizontal="center"/>
    </xf>
    <xf numFmtId="0" fontId="0" fillId="33" borderId="122" xfId="0" applyFill="1" applyBorder="1" applyAlignment="1">
      <alignment/>
    </xf>
    <xf numFmtId="0" fontId="0" fillId="33" borderId="0" xfId="0" applyFill="1" applyBorder="1" applyAlignment="1">
      <alignment/>
    </xf>
    <xf numFmtId="10" fontId="0" fillId="33" borderId="122" xfId="0" applyNumberFormat="1" applyFill="1" applyBorder="1" applyAlignment="1">
      <alignment/>
    </xf>
    <xf numFmtId="44" fontId="0" fillId="33" borderId="0" xfId="0" applyNumberFormat="1" applyFill="1" applyBorder="1" applyAlignment="1">
      <alignment horizontal="center"/>
    </xf>
    <xf numFmtId="10" fontId="0" fillId="33" borderId="123" xfId="0" applyNumberFormat="1" applyFill="1" applyBorder="1" applyAlignment="1">
      <alignment horizontal="center"/>
    </xf>
    <xf numFmtId="10" fontId="0" fillId="0" borderId="0" xfId="64" applyNumberFormat="1" applyFont="1" applyAlignment="1">
      <alignment/>
    </xf>
    <xf numFmtId="10" fontId="0" fillId="0" borderId="0" xfId="0" applyNumberFormat="1" applyFill="1" applyAlignment="1" applyProtection="1">
      <alignment/>
      <protection/>
    </xf>
    <xf numFmtId="0" fontId="0" fillId="0" borderId="0" xfId="0" applyFill="1" applyAlignment="1">
      <alignment/>
    </xf>
    <xf numFmtId="44" fontId="0" fillId="0" borderId="0" xfId="0" applyNumberFormat="1" applyFill="1" applyAlignment="1">
      <alignment/>
    </xf>
    <xf numFmtId="10" fontId="0" fillId="0" borderId="0" xfId="64" applyNumberFormat="1" applyFont="1" applyFill="1" applyAlignment="1">
      <alignment/>
    </xf>
    <xf numFmtId="0" fontId="0" fillId="0" borderId="0" xfId="0" applyFill="1" applyAlignment="1">
      <alignment horizontal="center" wrapText="1"/>
    </xf>
    <xf numFmtId="0" fontId="1" fillId="0" borderId="0" xfId="0" applyFont="1" applyFill="1" applyAlignment="1">
      <alignment horizontal="center" wrapText="1"/>
    </xf>
    <xf numFmtId="0" fontId="0" fillId="0" borderId="0" xfId="0" applyFill="1" applyAlignment="1">
      <alignment horizontal="center"/>
    </xf>
    <xf numFmtId="192" fontId="0" fillId="0" borderId="0" xfId="0" applyNumberFormat="1" applyFill="1" applyAlignment="1">
      <alignment horizontal="center"/>
    </xf>
    <xf numFmtId="10" fontId="0" fillId="0" borderId="0" xfId="0" applyNumberFormat="1" applyFill="1" applyAlignment="1" applyProtection="1">
      <alignment horizontal="center"/>
      <protection/>
    </xf>
    <xf numFmtId="10" fontId="0" fillId="0" borderId="0" xfId="0" applyNumberFormat="1" applyBorder="1" applyAlignment="1">
      <alignment/>
    </xf>
    <xf numFmtId="10" fontId="0" fillId="0" borderId="0" xfId="0" applyNumberFormat="1" applyBorder="1" applyAlignment="1">
      <alignment horizontal="center"/>
    </xf>
    <xf numFmtId="44" fontId="0" fillId="0" borderId="0" xfId="0" applyNumberFormat="1" applyBorder="1" applyAlignment="1">
      <alignment/>
    </xf>
    <xf numFmtId="194" fontId="0" fillId="0" borderId="0" xfId="45" applyNumberFormat="1" applyFont="1" applyAlignment="1">
      <alignment/>
    </xf>
    <xf numFmtId="10" fontId="22" fillId="0" borderId="0" xfId="0" applyNumberFormat="1" applyFont="1" applyFill="1" applyAlignment="1" applyProtection="1">
      <alignment/>
      <protection/>
    </xf>
    <xf numFmtId="0" fontId="22" fillId="0" borderId="0" xfId="0" applyFont="1" applyFill="1" applyAlignment="1">
      <alignment/>
    </xf>
    <xf numFmtId="44" fontId="22" fillId="0" borderId="0" xfId="0" applyNumberFormat="1" applyFont="1" applyFill="1" applyAlignment="1">
      <alignment/>
    </xf>
    <xf numFmtId="10" fontId="22" fillId="0" borderId="0" xfId="64" applyNumberFormat="1" applyFont="1" applyFill="1" applyAlignment="1">
      <alignment/>
    </xf>
    <xf numFmtId="0" fontId="1" fillId="34" borderId="28" xfId="0" applyFont="1" applyFill="1" applyBorder="1" applyAlignment="1" applyProtection="1">
      <alignment horizontal="left"/>
      <protection locked="0"/>
    </xf>
    <xf numFmtId="39" fontId="32" fillId="0" borderId="0" xfId="0" applyNumberFormat="1" applyFont="1" applyBorder="1" applyAlignment="1" applyProtection="1">
      <alignment/>
      <protection hidden="1"/>
    </xf>
    <xf numFmtId="0" fontId="1" fillId="0" borderId="0" xfId="0" applyFont="1" applyFill="1" applyBorder="1" applyAlignment="1" applyProtection="1">
      <alignment/>
      <protection locked="0"/>
    </xf>
    <xf numFmtId="0" fontId="1" fillId="34" borderId="28" xfId="0" applyFont="1" applyFill="1" applyBorder="1" applyAlignment="1" applyProtection="1">
      <alignment horizontal="left"/>
      <protection hidden="1"/>
    </xf>
    <xf numFmtId="0" fontId="8" fillId="34" borderId="95" xfId="0" applyFont="1" applyFill="1" applyBorder="1" applyAlignment="1" applyProtection="1">
      <alignment/>
      <protection locked="0"/>
    </xf>
    <xf numFmtId="0" fontId="8" fillId="34" borderId="124" xfId="0" applyFont="1" applyFill="1" applyBorder="1" applyAlignment="1" applyProtection="1">
      <alignment/>
      <protection locked="0"/>
    </xf>
    <xf numFmtId="0" fontId="8" fillId="34" borderId="95" xfId="0" applyFont="1" applyFill="1" applyBorder="1" applyAlignment="1" applyProtection="1">
      <alignment/>
      <protection hidden="1"/>
    </xf>
    <xf numFmtId="164" fontId="33" fillId="0" borderId="60" xfId="0" applyNumberFormat="1" applyFont="1" applyBorder="1" applyAlignment="1" applyProtection="1">
      <alignment/>
      <protection hidden="1"/>
    </xf>
    <xf numFmtId="0" fontId="33" fillId="0" borderId="0" xfId="0" applyFont="1" applyBorder="1" applyAlignment="1" applyProtection="1">
      <alignment horizontal="right"/>
      <protection hidden="1"/>
    </xf>
    <xf numFmtId="0" fontId="0" fillId="0" borderId="17" xfId="0" applyBorder="1" applyAlignment="1" applyProtection="1">
      <alignment/>
      <protection hidden="1"/>
    </xf>
    <xf numFmtId="0" fontId="0" fillId="0" borderId="0" xfId="0" applyBorder="1" applyAlignment="1" applyProtection="1">
      <alignment vertical="center"/>
      <protection hidden="1"/>
    </xf>
    <xf numFmtId="0" fontId="16" fillId="34" borderId="0" xfId="56" applyFont="1" applyFill="1" applyBorder="1" applyAlignment="1" applyProtection="1">
      <alignment horizontal="left" vertical="center" wrapText="1"/>
      <protection/>
    </xf>
    <xf numFmtId="0" fontId="16" fillId="0" borderId="17" xfId="56" applyBorder="1" applyAlignment="1" applyProtection="1">
      <alignment/>
      <protection hidden="1"/>
    </xf>
    <xf numFmtId="0" fontId="3" fillId="0" borderId="17" xfId="0" applyFont="1" applyBorder="1" applyAlignment="1" applyProtection="1">
      <alignment horizontal="center"/>
      <protection hidden="1"/>
    </xf>
    <xf numFmtId="0" fontId="3" fillId="0" borderId="17" xfId="0" applyFont="1" applyBorder="1" applyAlignment="1" applyProtection="1">
      <alignment horizontal="right"/>
      <protection hidden="1"/>
    </xf>
    <xf numFmtId="0" fontId="3" fillId="0" borderId="20" xfId="0" applyFont="1" applyBorder="1" applyAlignment="1" applyProtection="1">
      <alignment horizontal="left"/>
      <protection hidden="1"/>
    </xf>
    <xf numFmtId="0" fontId="0" fillId="0" borderId="37" xfId="0" applyBorder="1" applyAlignment="1" applyProtection="1">
      <alignment horizontal="right"/>
      <protection hidden="1"/>
    </xf>
    <xf numFmtId="0" fontId="34" fillId="0" borderId="0" xfId="0" applyFont="1" applyBorder="1" applyAlignment="1" applyProtection="1">
      <alignment horizontal="right" vertical="center"/>
      <protection hidden="1"/>
    </xf>
    <xf numFmtId="0" fontId="34"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0" xfId="0" applyFont="1" applyAlignment="1" applyProtection="1">
      <alignment horizontal="right" vertical="center"/>
      <protection hidden="1"/>
    </xf>
    <xf numFmtId="0" fontId="0" fillId="0" borderId="37" xfId="0" applyFill="1" applyBorder="1" applyAlignment="1" applyProtection="1">
      <alignment horizontal="right" wrapText="1"/>
      <protection hidden="1"/>
    </xf>
    <xf numFmtId="0" fontId="0" fillId="0" borderId="17" xfId="0" applyBorder="1" applyAlignment="1">
      <alignment horizontal="right" wrapText="1"/>
    </xf>
    <xf numFmtId="0" fontId="0" fillId="0" borderId="20" xfId="0" applyBorder="1" applyAlignment="1">
      <alignment horizontal="right" wrapText="1"/>
    </xf>
    <xf numFmtId="0" fontId="0" fillId="0" borderId="37" xfId="0" applyBorder="1" applyAlignment="1" applyProtection="1">
      <alignment/>
      <protection hidden="1"/>
    </xf>
    <xf numFmtId="0" fontId="30" fillId="0" borderId="85" xfId="0" applyFont="1" applyBorder="1" applyAlignment="1">
      <alignment/>
    </xf>
    <xf numFmtId="0" fontId="30" fillId="39" borderId="85" xfId="0" applyFont="1" applyFill="1" applyBorder="1" applyAlignment="1">
      <alignment/>
    </xf>
    <xf numFmtId="0" fontId="30" fillId="39" borderId="15" xfId="0" applyFont="1" applyFill="1" applyBorder="1" applyAlignment="1">
      <alignment/>
    </xf>
    <xf numFmtId="0" fontId="30" fillId="35" borderId="83" xfId="0" applyFont="1" applyFill="1" applyBorder="1" applyAlignment="1">
      <alignment/>
    </xf>
    <xf numFmtId="0" fontId="30" fillId="39" borderId="60" xfId="0" applyFont="1" applyFill="1" applyBorder="1" applyAlignment="1">
      <alignment/>
    </xf>
    <xf numFmtId="0" fontId="30" fillId="35" borderId="76" xfId="0" applyFont="1" applyFill="1" applyBorder="1" applyAlignment="1">
      <alignment/>
    </xf>
    <xf numFmtId="0" fontId="30" fillId="39" borderId="76" xfId="0" applyFont="1" applyFill="1" applyBorder="1" applyAlignment="1">
      <alignment/>
    </xf>
    <xf numFmtId="0" fontId="30" fillId="0" borderId="0" xfId="0" applyFont="1" applyBorder="1" applyAlignment="1">
      <alignment horizontal="center"/>
    </xf>
    <xf numFmtId="0" fontId="30" fillId="37" borderId="0" xfId="0" applyFont="1" applyFill="1" applyBorder="1" applyAlignment="1">
      <alignment/>
    </xf>
    <xf numFmtId="0" fontId="22" fillId="0" borderId="0" xfId="0" applyFont="1" applyBorder="1" applyAlignment="1">
      <alignment/>
    </xf>
    <xf numFmtId="0" fontId="30" fillId="0" borderId="78" xfId="0" applyFont="1" applyBorder="1" applyAlignment="1">
      <alignment/>
    </xf>
    <xf numFmtId="0" fontId="30" fillId="39" borderId="83" xfId="0" applyFont="1" applyFill="1" applyBorder="1" applyAlignment="1">
      <alignment/>
    </xf>
    <xf numFmtId="0" fontId="30" fillId="35" borderId="20" xfId="0" applyFont="1" applyFill="1" applyBorder="1" applyAlignment="1">
      <alignment/>
    </xf>
    <xf numFmtId="0" fontId="30" fillId="35" borderId="15" xfId="0" applyFont="1" applyFill="1" applyBorder="1" applyAlignment="1">
      <alignment/>
    </xf>
    <xf numFmtId="0" fontId="30" fillId="0" borderId="125" xfId="0" applyFont="1" applyBorder="1" applyAlignment="1">
      <alignment/>
    </xf>
    <xf numFmtId="0" fontId="30" fillId="35" borderId="14" xfId="0" applyFont="1" applyFill="1" applyBorder="1" applyAlignment="1">
      <alignment/>
    </xf>
    <xf numFmtId="0" fontId="30" fillId="35" borderId="60" xfId="0" applyFont="1" applyFill="1" applyBorder="1" applyAlignment="1">
      <alignment/>
    </xf>
    <xf numFmtId="0" fontId="30" fillId="0" borderId="126" xfId="0" applyFont="1" applyBorder="1" applyAlignment="1">
      <alignment/>
    </xf>
    <xf numFmtId="0" fontId="30" fillId="39" borderId="37" xfId="0" applyFont="1" applyFill="1" applyBorder="1" applyAlignment="1">
      <alignment/>
    </xf>
    <xf numFmtId="0" fontId="30" fillId="0" borderId="53" xfId="0" applyFont="1" applyBorder="1" applyAlignment="1">
      <alignment/>
    </xf>
    <xf numFmtId="0" fontId="30" fillId="0" borderId="89" xfId="0" applyFont="1" applyBorder="1" applyAlignment="1">
      <alignment/>
    </xf>
    <xf numFmtId="0" fontId="30" fillId="0" borderId="58" xfId="0" applyFont="1" applyBorder="1" applyAlignment="1">
      <alignment/>
    </xf>
    <xf numFmtId="0" fontId="30" fillId="39" borderId="58" xfId="0" applyFont="1" applyFill="1" applyBorder="1" applyAlignment="1">
      <alignment/>
    </xf>
    <xf numFmtId="0" fontId="30" fillId="39" borderId="73" xfId="0" applyFont="1" applyFill="1" applyBorder="1" applyAlignment="1">
      <alignment/>
    </xf>
    <xf numFmtId="0" fontId="30" fillId="39" borderId="74" xfId="0" applyFont="1" applyFill="1" applyBorder="1" applyAlignment="1">
      <alignment/>
    </xf>
    <xf numFmtId="0" fontId="30" fillId="0" borderId="0" xfId="0" applyFont="1" applyBorder="1" applyAlignment="1">
      <alignment/>
    </xf>
    <xf numFmtId="0" fontId="26" fillId="0" borderId="0" xfId="0" applyFont="1" applyFill="1" applyBorder="1" applyAlignment="1" applyProtection="1">
      <alignment/>
      <protection hidden="1"/>
    </xf>
    <xf numFmtId="0" fontId="31" fillId="0" borderId="0" xfId="0" applyFont="1" applyFill="1" applyBorder="1" applyAlignment="1" applyProtection="1">
      <alignment/>
      <protection locked="0"/>
    </xf>
    <xf numFmtId="0" fontId="8" fillId="0" borderId="15" xfId="0" applyFont="1" applyBorder="1" applyAlignment="1" applyProtection="1">
      <alignment horizontal="center"/>
      <protection hidden="1"/>
    </xf>
    <xf numFmtId="0" fontId="0" fillId="0" borderId="15" xfId="0" applyBorder="1" applyAlignment="1" applyProtection="1">
      <alignment/>
      <protection locked="0"/>
    </xf>
    <xf numFmtId="0" fontId="0" fillId="0" borderId="37" xfId="0" applyBorder="1" applyAlignment="1" applyProtection="1">
      <alignment/>
      <protection locked="0"/>
    </xf>
    <xf numFmtId="4" fontId="0" fillId="0" borderId="20" xfId="0" applyNumberFormat="1" applyBorder="1" applyAlignment="1" applyProtection="1">
      <alignment horizontal="center"/>
      <protection hidden="1"/>
    </xf>
    <xf numFmtId="4" fontId="0" fillId="0" borderId="34" xfId="0" applyNumberFormat="1" applyFont="1" applyBorder="1" applyAlignment="1" applyProtection="1">
      <alignment horizontal="center"/>
      <protection hidden="1"/>
    </xf>
    <xf numFmtId="2" fontId="0" fillId="0" borderId="20" xfId="0" applyNumberFormat="1" applyBorder="1" applyAlignment="1" applyProtection="1">
      <alignment horizontal="center"/>
      <protection/>
    </xf>
    <xf numFmtId="2" fontId="0" fillId="0" borderId="15" xfId="0" applyNumberFormat="1" applyBorder="1" applyAlignment="1" applyProtection="1">
      <alignment horizontal="center"/>
      <protection/>
    </xf>
    <xf numFmtId="0" fontId="8" fillId="0" borderId="127" xfId="0" applyFont="1" applyBorder="1" applyAlignment="1" applyProtection="1">
      <alignment horizontal="center"/>
      <protection hidden="1"/>
    </xf>
    <xf numFmtId="3" fontId="0" fillId="0" borderId="20" xfId="0" applyNumberFormat="1" applyFill="1" applyBorder="1" applyAlignment="1" applyProtection="1">
      <alignment horizontal="center"/>
      <protection hidden="1"/>
    </xf>
    <xf numFmtId="0" fontId="0" fillId="0" borderId="37" xfId="0" applyFill="1" applyBorder="1" applyAlignment="1" applyProtection="1">
      <alignment/>
      <protection hidden="1"/>
    </xf>
    <xf numFmtId="3" fontId="0" fillId="0" borderId="20" xfId="0" applyNumberFormat="1" applyFill="1" applyBorder="1" applyAlignment="1" applyProtection="1">
      <alignment horizontal="center" vertical="center"/>
      <protection hidden="1"/>
    </xf>
    <xf numFmtId="0" fontId="0" fillId="0" borderId="37" xfId="0" applyFill="1" applyBorder="1" applyAlignment="1" applyProtection="1">
      <alignment horizontal="center" vertical="center"/>
      <protection hidden="1"/>
    </xf>
    <xf numFmtId="0" fontId="0" fillId="0" borderId="37" xfId="0" applyFill="1" applyBorder="1" applyAlignment="1" applyProtection="1">
      <alignment vertical="center"/>
      <protection hidden="1"/>
    </xf>
    <xf numFmtId="0" fontId="71" fillId="0" borderId="15" xfId="0" applyFont="1" applyFill="1" applyBorder="1" applyAlignment="1" applyProtection="1">
      <alignment horizontal="center" vertical="center"/>
      <protection hidden="1"/>
    </xf>
    <xf numFmtId="4" fontId="0" fillId="0" borderId="20" xfId="0" applyNumberFormat="1" applyFont="1" applyFill="1" applyBorder="1" applyAlignment="1" applyProtection="1">
      <alignment horizontal="center" vertical="center"/>
      <protection hidden="1"/>
    </xf>
    <xf numFmtId="0" fontId="0" fillId="0" borderId="17" xfId="0" applyFont="1" applyBorder="1" applyAlignment="1" applyProtection="1">
      <alignment horizontal="centerContinuous" wrapText="1"/>
      <protection hidden="1"/>
    </xf>
    <xf numFmtId="0" fontId="71" fillId="0" borderId="15" xfId="0" applyFont="1" applyFill="1" applyBorder="1" applyAlignment="1" applyProtection="1">
      <alignment horizontal="center"/>
      <protection hidden="1"/>
    </xf>
    <xf numFmtId="0" fontId="71" fillId="0" borderId="15" xfId="0" applyFont="1" applyFill="1" applyBorder="1" applyAlignment="1" applyProtection="1">
      <alignment horizontal="center" vertical="center"/>
      <protection hidden="1"/>
    </xf>
    <xf numFmtId="4" fontId="0" fillId="0" borderId="20" xfId="0" applyNumberFormat="1" applyFill="1" applyBorder="1" applyAlignment="1" applyProtection="1">
      <alignment horizontal="center" vertical="center"/>
      <protection hidden="1"/>
    </xf>
    <xf numFmtId="0" fontId="0" fillId="35" borderId="0" xfId="0" applyFill="1" applyBorder="1" applyAlignment="1">
      <alignment/>
    </xf>
    <xf numFmtId="0" fontId="35" fillId="0" borderId="0" xfId="0" applyFont="1" applyBorder="1" applyAlignment="1">
      <alignment/>
    </xf>
    <xf numFmtId="0" fontId="35" fillId="39" borderId="0" xfId="0" applyFont="1" applyFill="1" applyBorder="1" applyAlignment="1">
      <alignment/>
    </xf>
    <xf numFmtId="0" fontId="35" fillId="37" borderId="0" xfId="0" applyFont="1" applyFill="1" applyBorder="1" applyAlignment="1">
      <alignment/>
    </xf>
    <xf numFmtId="0" fontId="30" fillId="39" borderId="0" xfId="0" applyFont="1" applyFill="1" applyBorder="1" applyAlignment="1">
      <alignment/>
    </xf>
    <xf numFmtId="0" fontId="22" fillId="0" borderId="0" xfId="0" applyFont="1" applyFill="1" applyBorder="1" applyAlignment="1">
      <alignment/>
    </xf>
    <xf numFmtId="0" fontId="0" fillId="39" borderId="0" xfId="0" applyFill="1" applyBorder="1" applyAlignment="1">
      <alignment/>
    </xf>
    <xf numFmtId="0" fontId="0" fillId="0" borderId="128" xfId="0" applyBorder="1" applyAlignment="1">
      <alignment/>
    </xf>
    <xf numFmtId="0" fontId="0" fillId="0" borderId="70" xfId="0" applyBorder="1" applyAlignment="1">
      <alignment/>
    </xf>
    <xf numFmtId="0" fontId="0" fillId="0" borderId="93" xfId="0" applyBorder="1" applyAlignment="1">
      <alignment/>
    </xf>
    <xf numFmtId="0" fontId="0" fillId="0" borderId="85" xfId="0" applyBorder="1" applyAlignment="1">
      <alignment/>
    </xf>
    <xf numFmtId="0" fontId="0" fillId="0" borderId="101" xfId="0" applyBorder="1" applyAlignment="1">
      <alignment/>
    </xf>
    <xf numFmtId="0" fontId="0" fillId="0" borderId="70" xfId="0" applyBorder="1" applyAlignment="1">
      <alignment horizontal="center"/>
    </xf>
    <xf numFmtId="0" fontId="0" fillId="0" borderId="128" xfId="0" applyBorder="1" applyAlignment="1">
      <alignment horizontal="center"/>
    </xf>
    <xf numFmtId="0" fontId="0" fillId="0" borderId="129" xfId="0" applyBorder="1" applyAlignment="1">
      <alignment horizontal="center"/>
    </xf>
    <xf numFmtId="0" fontId="0" fillId="0" borderId="81" xfId="0" applyBorder="1" applyAlignment="1">
      <alignment horizontal="center"/>
    </xf>
    <xf numFmtId="0" fontId="0" fillId="39" borderId="70" xfId="0" applyFill="1" applyBorder="1" applyAlignment="1">
      <alignment/>
    </xf>
    <xf numFmtId="0" fontId="0" fillId="39" borderId="58" xfId="0" applyFill="1" applyBorder="1" applyAlignment="1">
      <alignment horizontal="center"/>
    </xf>
    <xf numFmtId="0" fontId="0" fillId="39" borderId="130" xfId="0" applyFill="1" applyBorder="1" applyAlignment="1">
      <alignment/>
    </xf>
    <xf numFmtId="0" fontId="0" fillId="39" borderId="128" xfId="0" applyFill="1" applyBorder="1" applyAlignment="1">
      <alignment/>
    </xf>
    <xf numFmtId="0" fontId="0" fillId="39" borderId="78" xfId="0" applyFill="1" applyBorder="1" applyAlignment="1">
      <alignment/>
    </xf>
    <xf numFmtId="0" fontId="0" fillId="39" borderId="131" xfId="0" applyFill="1" applyBorder="1" applyAlignment="1">
      <alignment/>
    </xf>
    <xf numFmtId="0" fontId="0" fillId="39" borderId="114" xfId="0" applyFill="1" applyBorder="1" applyAlignment="1">
      <alignment/>
    </xf>
    <xf numFmtId="0" fontId="0" fillId="35" borderId="82" xfId="0" applyFill="1" applyBorder="1" applyAlignment="1">
      <alignment/>
    </xf>
    <xf numFmtId="0" fontId="0" fillId="0" borderId="114" xfId="0" applyBorder="1" applyAlignment="1">
      <alignment horizontal="right"/>
    </xf>
    <xf numFmtId="0" fontId="0" fillId="39" borderId="53" xfId="0" applyFill="1" applyBorder="1" applyAlignment="1">
      <alignment/>
    </xf>
    <xf numFmtId="0" fontId="0" fillId="39" borderId="89" xfId="0" applyFill="1" applyBorder="1" applyAlignment="1">
      <alignment/>
    </xf>
    <xf numFmtId="0" fontId="0" fillId="0" borderId="86" xfId="0" applyBorder="1" applyAlignment="1">
      <alignment/>
    </xf>
    <xf numFmtId="0" fontId="0" fillId="0" borderId="81" xfId="0" applyBorder="1" applyAlignment="1">
      <alignment/>
    </xf>
    <xf numFmtId="0" fontId="0" fillId="0" borderId="53" xfId="0" applyBorder="1" applyAlignment="1">
      <alignment horizontal="center" wrapText="1"/>
    </xf>
    <xf numFmtId="0" fontId="0" fillId="39" borderId="53" xfId="0" applyFill="1" applyBorder="1" applyAlignment="1">
      <alignment horizontal="center" wrapText="1"/>
    </xf>
    <xf numFmtId="0" fontId="0" fillId="0" borderId="78" xfId="0" applyBorder="1" applyAlignment="1">
      <alignment horizontal="center" wrapText="1"/>
    </xf>
    <xf numFmtId="0" fontId="0" fillId="39" borderId="79" xfId="0" applyFill="1" applyBorder="1" applyAlignment="1">
      <alignment horizontal="center" wrapText="1"/>
    </xf>
    <xf numFmtId="0" fontId="0" fillId="35" borderId="79" xfId="0" applyFill="1" applyBorder="1" applyAlignment="1">
      <alignment horizontal="center" wrapText="1"/>
    </xf>
    <xf numFmtId="0" fontId="0" fillId="39" borderId="89" xfId="0" applyFill="1" applyBorder="1" applyAlignment="1">
      <alignment horizontal="center" wrapText="1"/>
    </xf>
    <xf numFmtId="0" fontId="35" fillId="0" borderId="132" xfId="0" applyFont="1" applyBorder="1" applyAlignment="1">
      <alignment/>
    </xf>
    <xf numFmtId="0" fontId="35" fillId="39" borderId="133" xfId="0" applyFont="1" applyFill="1" applyBorder="1" applyAlignment="1">
      <alignment/>
    </xf>
    <xf numFmtId="0" fontId="0" fillId="0" borderId="54" xfId="0" applyBorder="1" applyAlignment="1">
      <alignment/>
    </xf>
    <xf numFmtId="1" fontId="0" fillId="39" borderId="93" xfId="0" applyNumberFormat="1" applyFill="1" applyBorder="1" applyAlignment="1">
      <alignment/>
    </xf>
    <xf numFmtId="1" fontId="0" fillId="39" borderId="85" xfId="0" applyNumberFormat="1" applyFill="1" applyBorder="1" applyAlignment="1">
      <alignment/>
    </xf>
    <xf numFmtId="1" fontId="0" fillId="39" borderId="86" xfId="0" applyNumberFormat="1" applyFill="1" applyBorder="1" applyAlignment="1">
      <alignment/>
    </xf>
    <xf numFmtId="1" fontId="0" fillId="39" borderId="101" xfId="0" applyNumberFormat="1" applyFill="1" applyBorder="1" applyAlignment="1">
      <alignment/>
    </xf>
    <xf numFmtId="1" fontId="35" fillId="0" borderId="65" xfId="0" applyNumberFormat="1" applyFont="1" applyBorder="1" applyAlignment="1">
      <alignment/>
    </xf>
    <xf numFmtId="1" fontId="35" fillId="37" borderId="30" xfId="0" applyNumberFormat="1" applyFont="1" applyFill="1" applyBorder="1" applyAlignment="1">
      <alignment/>
    </xf>
    <xf numFmtId="1" fontId="0" fillId="35" borderId="84" xfId="0" applyNumberFormat="1" applyFill="1" applyBorder="1" applyAlignment="1">
      <alignment/>
    </xf>
    <xf numFmtId="1" fontId="35" fillId="39" borderId="18" xfId="0" applyNumberFormat="1" applyFont="1" applyFill="1" applyBorder="1" applyAlignment="1">
      <alignment/>
    </xf>
    <xf numFmtId="1" fontId="35" fillId="0" borderId="28" xfId="0" applyNumberFormat="1" applyFont="1" applyBorder="1" applyAlignment="1">
      <alignment/>
    </xf>
    <xf numFmtId="1" fontId="35" fillId="37" borderId="17" xfId="0" applyNumberFormat="1" applyFont="1" applyFill="1" applyBorder="1" applyAlignment="1">
      <alignment/>
    </xf>
    <xf numFmtId="1" fontId="35" fillId="39" borderId="15" xfId="0" applyNumberFormat="1" applyFont="1" applyFill="1" applyBorder="1" applyAlignment="1">
      <alignment/>
    </xf>
    <xf numFmtId="1" fontId="0" fillId="35" borderId="83" xfId="0" applyNumberFormat="1" applyFill="1" applyBorder="1" applyAlignment="1">
      <alignment/>
    </xf>
    <xf numFmtId="1" fontId="35" fillId="0" borderId="134" xfId="0" applyNumberFormat="1" applyFont="1" applyBorder="1" applyAlignment="1">
      <alignment/>
    </xf>
    <xf numFmtId="1" fontId="35" fillId="39" borderId="127" xfId="0" applyNumberFormat="1" applyFont="1" applyFill="1" applyBorder="1" applyAlignment="1">
      <alignment/>
    </xf>
    <xf numFmtId="1" fontId="0" fillId="35" borderId="77" xfId="0" applyNumberFormat="1" applyFill="1" applyBorder="1" applyAlignment="1">
      <alignment/>
    </xf>
    <xf numFmtId="1" fontId="35" fillId="0" borderId="59" xfId="0" applyNumberFormat="1" applyFont="1" applyBorder="1" applyAlignment="1">
      <alignment/>
    </xf>
    <xf numFmtId="1" fontId="35" fillId="39" borderId="60" xfId="0" applyNumberFormat="1" applyFont="1" applyFill="1" applyBorder="1" applyAlignment="1">
      <alignment/>
    </xf>
    <xf numFmtId="1" fontId="0" fillId="35" borderId="76" xfId="0" applyNumberFormat="1" applyFill="1" applyBorder="1" applyAlignment="1">
      <alignment/>
    </xf>
    <xf numFmtId="1" fontId="0" fillId="39" borderId="54" xfId="0" applyNumberFormat="1" applyFill="1" applyBorder="1" applyAlignment="1">
      <alignment/>
    </xf>
    <xf numFmtId="1" fontId="0" fillId="39" borderId="135" xfId="0" applyNumberFormat="1" applyFill="1" applyBorder="1" applyAlignment="1">
      <alignment/>
    </xf>
    <xf numFmtId="1" fontId="0" fillId="39" borderId="53" xfId="0" applyNumberFormat="1" applyFill="1" applyBorder="1" applyAlignment="1">
      <alignment/>
    </xf>
    <xf numFmtId="1" fontId="0" fillId="39" borderId="126" xfId="0" applyNumberFormat="1" applyFill="1" applyBorder="1" applyAlignment="1">
      <alignment/>
    </xf>
    <xf numFmtId="1" fontId="0" fillId="39" borderId="58" xfId="0" applyNumberFormat="1" applyFill="1" applyBorder="1" applyAlignment="1">
      <alignment/>
    </xf>
    <xf numFmtId="0" fontId="0" fillId="0" borderId="78" xfId="0" applyBorder="1" applyAlignment="1">
      <alignment/>
    </xf>
    <xf numFmtId="0" fontId="0" fillId="0" borderId="131" xfId="0" applyBorder="1" applyAlignment="1">
      <alignment/>
    </xf>
    <xf numFmtId="0" fontId="0" fillId="0" borderId="53" xfId="0" applyBorder="1" applyAlignment="1">
      <alignment horizontal="center"/>
    </xf>
    <xf numFmtId="0" fontId="0" fillId="0" borderId="79" xfId="0" applyBorder="1" applyAlignment="1">
      <alignment horizontal="center"/>
    </xf>
    <xf numFmtId="0" fontId="0" fillId="0" borderId="0" xfId="0" applyBorder="1" applyAlignment="1">
      <alignment horizontal="center"/>
    </xf>
    <xf numFmtId="0" fontId="0" fillId="0" borderId="136" xfId="0" applyBorder="1" applyAlignment="1">
      <alignment horizontal="center"/>
    </xf>
    <xf numFmtId="0" fontId="0" fillId="0" borderId="58" xfId="0" applyBorder="1" applyAlignment="1">
      <alignment horizontal="center"/>
    </xf>
    <xf numFmtId="0" fontId="2" fillId="0" borderId="130" xfId="0" applyFont="1" applyBorder="1" applyAlignment="1">
      <alignment/>
    </xf>
    <xf numFmtId="0" fontId="2" fillId="0" borderId="0" xfId="0" applyFont="1" applyAlignment="1">
      <alignment/>
    </xf>
    <xf numFmtId="0" fontId="0" fillId="39" borderId="53" xfId="0" applyFill="1" applyBorder="1" applyAlignment="1">
      <alignment horizontal="center"/>
    </xf>
    <xf numFmtId="0" fontId="0" fillId="39" borderId="93" xfId="0" applyFill="1" applyBorder="1" applyAlignment="1">
      <alignment/>
    </xf>
    <xf numFmtId="0" fontId="0" fillId="39" borderId="85" xfId="0" applyFill="1" applyBorder="1" applyAlignment="1">
      <alignment/>
    </xf>
    <xf numFmtId="0" fontId="0" fillId="39" borderId="101" xfId="0" applyFill="1" applyBorder="1" applyAlignment="1">
      <alignment/>
    </xf>
    <xf numFmtId="0" fontId="0" fillId="39" borderId="79" xfId="0" applyFill="1" applyBorder="1" applyAlignment="1">
      <alignment horizontal="center"/>
    </xf>
    <xf numFmtId="0" fontId="0" fillId="39" borderId="82" xfId="0" applyFill="1" applyBorder="1" applyAlignment="1">
      <alignment/>
    </xf>
    <xf numFmtId="0" fontId="0" fillId="39" borderId="0" xfId="0" applyFill="1" applyBorder="1" applyAlignment="1">
      <alignment horizontal="center"/>
    </xf>
    <xf numFmtId="0" fontId="0" fillId="39" borderId="133" xfId="0" applyFill="1" applyBorder="1" applyAlignment="1">
      <alignment/>
    </xf>
    <xf numFmtId="0" fontId="0" fillId="39" borderId="89" xfId="0" applyFill="1" applyBorder="1" applyAlignment="1">
      <alignment horizontal="center"/>
    </xf>
    <xf numFmtId="0" fontId="0" fillId="39" borderId="137" xfId="0" applyFill="1" applyBorder="1" applyAlignment="1">
      <alignment/>
    </xf>
    <xf numFmtId="0" fontId="0" fillId="39" borderId="15" xfId="0" applyFill="1" applyBorder="1" applyAlignment="1">
      <alignment/>
    </xf>
    <xf numFmtId="0" fontId="0" fillId="39" borderId="60" xfId="0" applyFill="1" applyBorder="1" applyAlignment="1">
      <alignment/>
    </xf>
    <xf numFmtId="0" fontId="0" fillId="35" borderId="79" xfId="0" applyFill="1" applyBorder="1" applyAlignment="1">
      <alignment horizontal="center"/>
    </xf>
    <xf numFmtId="0" fontId="0" fillId="35" borderId="136" xfId="0" applyFill="1" applyBorder="1" applyAlignment="1">
      <alignment horizontal="center"/>
    </xf>
    <xf numFmtId="0" fontId="0" fillId="35" borderId="138" xfId="0" applyFill="1" applyBorder="1" applyAlignment="1">
      <alignment/>
    </xf>
    <xf numFmtId="0" fontId="0" fillId="35" borderId="83" xfId="0" applyFill="1" applyBorder="1" applyAlignment="1">
      <alignment/>
    </xf>
    <xf numFmtId="0" fontId="0" fillId="35" borderId="76" xfId="0" applyFill="1" applyBorder="1" applyAlignment="1">
      <alignment/>
    </xf>
    <xf numFmtId="0" fontId="0" fillId="35" borderId="0" xfId="0" applyFill="1" applyAlignment="1">
      <alignment horizontal="center"/>
    </xf>
    <xf numFmtId="0" fontId="0" fillId="35" borderId="137" xfId="0" applyFill="1" applyBorder="1" applyAlignment="1">
      <alignment/>
    </xf>
    <xf numFmtId="0" fontId="0" fillId="35" borderId="15" xfId="0" applyFill="1" applyBorder="1" applyAlignment="1">
      <alignment/>
    </xf>
    <xf numFmtId="0" fontId="0" fillId="35" borderId="60" xfId="0" applyFill="1" applyBorder="1" applyAlignment="1">
      <alignment/>
    </xf>
    <xf numFmtId="0" fontId="0" fillId="39" borderId="0" xfId="0" applyFill="1" applyAlignment="1">
      <alignment/>
    </xf>
    <xf numFmtId="0" fontId="0" fillId="39" borderId="0" xfId="0" applyFill="1" applyAlignment="1">
      <alignment horizontal="center"/>
    </xf>
    <xf numFmtId="0" fontId="0" fillId="39" borderId="138" xfId="0" applyFill="1" applyBorder="1" applyAlignment="1">
      <alignment/>
    </xf>
    <xf numFmtId="0" fontId="0" fillId="39" borderId="66" xfId="0" applyFill="1" applyBorder="1" applyAlignment="1">
      <alignment/>
    </xf>
    <xf numFmtId="0" fontId="0" fillId="39" borderId="83" xfId="0" applyFill="1" applyBorder="1" applyAlignment="1">
      <alignment/>
    </xf>
    <xf numFmtId="0" fontId="0" fillId="39" borderId="37" xfId="0" applyFill="1" applyBorder="1" applyAlignment="1">
      <alignment/>
    </xf>
    <xf numFmtId="0" fontId="0" fillId="39" borderId="76" xfId="0" applyFill="1" applyBorder="1" applyAlignment="1">
      <alignment/>
    </xf>
    <xf numFmtId="0" fontId="0" fillId="39" borderId="61" xfId="0" applyFill="1" applyBorder="1" applyAlignment="1">
      <alignment/>
    </xf>
    <xf numFmtId="0" fontId="0" fillId="35" borderId="0" xfId="0" applyFill="1" applyAlignment="1">
      <alignment/>
    </xf>
    <xf numFmtId="0" fontId="0" fillId="35" borderId="0" xfId="0" applyFill="1" applyBorder="1" applyAlignment="1">
      <alignment horizontal="center"/>
    </xf>
    <xf numFmtId="0" fontId="0" fillId="35" borderId="89" xfId="0" applyFill="1" applyBorder="1" applyAlignment="1">
      <alignment horizontal="center"/>
    </xf>
    <xf numFmtId="0" fontId="0" fillId="35" borderId="133" xfId="0" applyFill="1" applyBorder="1" applyAlignment="1">
      <alignment/>
    </xf>
    <xf numFmtId="0" fontId="0" fillId="0" borderId="89" xfId="0" applyBorder="1" applyAlignment="1">
      <alignment/>
    </xf>
    <xf numFmtId="0" fontId="0" fillId="0" borderId="53" xfId="0" applyBorder="1" applyAlignment="1">
      <alignment/>
    </xf>
    <xf numFmtId="0" fontId="0" fillId="0" borderId="58" xfId="0" applyBorder="1" applyAlignment="1">
      <alignment/>
    </xf>
    <xf numFmtId="0" fontId="0" fillId="39" borderId="58" xfId="0" applyFill="1" applyBorder="1" applyAlignment="1">
      <alignment/>
    </xf>
    <xf numFmtId="0" fontId="0" fillId="39" borderId="73" xfId="0" applyFill="1" applyBorder="1" applyAlignment="1">
      <alignment/>
    </xf>
    <xf numFmtId="0" fontId="0" fillId="39" borderId="74" xfId="0" applyFill="1" applyBorder="1" applyAlignment="1">
      <alignment/>
    </xf>
    <xf numFmtId="0" fontId="0" fillId="35" borderId="112" xfId="0" applyFill="1" applyBorder="1" applyAlignment="1">
      <alignment/>
    </xf>
    <xf numFmtId="0" fontId="0" fillId="35" borderId="139" xfId="0" applyFill="1" applyBorder="1" applyAlignment="1">
      <alignment/>
    </xf>
    <xf numFmtId="0" fontId="0" fillId="39" borderId="131" xfId="0" applyFill="1" applyBorder="1" applyAlignment="1">
      <alignment horizontal="center"/>
    </xf>
    <xf numFmtId="0" fontId="0" fillId="0" borderId="113" xfId="0" applyBorder="1" applyAlignment="1">
      <alignment/>
    </xf>
    <xf numFmtId="0" fontId="0" fillId="39" borderId="67" xfId="0" applyFill="1" applyBorder="1" applyAlignment="1">
      <alignment/>
    </xf>
    <xf numFmtId="0" fontId="0" fillId="39" borderId="17" xfId="0" applyFill="1" applyBorder="1" applyAlignment="1">
      <alignment/>
    </xf>
    <xf numFmtId="0" fontId="0" fillId="39" borderId="88" xfId="0" applyFill="1" applyBorder="1" applyAlignment="1">
      <alignment/>
    </xf>
    <xf numFmtId="0" fontId="0" fillId="35" borderId="68" xfId="0" applyFill="1" applyBorder="1" applyAlignment="1">
      <alignment/>
    </xf>
    <xf numFmtId="0" fontId="0" fillId="35" borderId="20" xfId="0" applyFill="1" applyBorder="1" applyAlignment="1">
      <alignment/>
    </xf>
    <xf numFmtId="0" fontId="0" fillId="35" borderId="14" xfId="0" applyFill="1" applyBorder="1" applyAlignment="1">
      <alignment/>
    </xf>
    <xf numFmtId="0" fontId="0" fillId="0" borderId="69" xfId="0" applyBorder="1" applyAlignment="1">
      <alignment/>
    </xf>
    <xf numFmtId="0" fontId="0" fillId="0" borderId="125" xfId="0" applyBorder="1" applyAlignment="1">
      <alignment/>
    </xf>
    <xf numFmtId="0" fontId="0" fillId="0" borderId="126" xfId="0" applyBorder="1" applyAlignment="1">
      <alignment/>
    </xf>
    <xf numFmtId="0" fontId="0" fillId="0" borderId="135" xfId="0" applyBorder="1" applyAlignment="1">
      <alignment/>
    </xf>
    <xf numFmtId="0" fontId="0" fillId="0" borderId="140" xfId="0" applyBorder="1" applyAlignment="1">
      <alignment/>
    </xf>
    <xf numFmtId="0" fontId="0" fillId="0" borderId="76" xfId="0" applyBorder="1" applyAlignment="1">
      <alignment/>
    </xf>
    <xf numFmtId="0" fontId="0" fillId="0" borderId="138" xfId="0" applyBorder="1" applyAlignment="1">
      <alignment/>
    </xf>
    <xf numFmtId="0" fontId="0" fillId="0" borderId="83" xfId="0" applyBorder="1" applyAlignment="1">
      <alignment/>
    </xf>
    <xf numFmtId="0" fontId="0" fillId="0" borderId="0" xfId="0" applyBorder="1" applyAlignment="1">
      <alignment/>
    </xf>
    <xf numFmtId="0" fontId="0" fillId="0" borderId="136" xfId="0" applyBorder="1" applyAlignment="1">
      <alignment/>
    </xf>
    <xf numFmtId="0" fontId="4" fillId="0" borderId="0" xfId="0" applyFont="1" applyBorder="1" applyAlignment="1">
      <alignment/>
    </xf>
    <xf numFmtId="0" fontId="0" fillId="0" borderId="77" xfId="0" applyBorder="1" applyAlignment="1">
      <alignment/>
    </xf>
    <xf numFmtId="0" fontId="0" fillId="0" borderId="84" xfId="0" applyBorder="1" applyAlignment="1">
      <alignment/>
    </xf>
    <xf numFmtId="0" fontId="0" fillId="0" borderId="79" xfId="0" applyBorder="1" applyAlignment="1">
      <alignment/>
    </xf>
    <xf numFmtId="0" fontId="22" fillId="0" borderId="0" xfId="0" applyFont="1" applyFill="1" applyAlignment="1">
      <alignment horizontal="center"/>
    </xf>
    <xf numFmtId="0" fontId="0" fillId="0" borderId="37" xfId="0" applyBorder="1" applyAlignment="1" applyProtection="1">
      <alignment horizontal="right" wrapText="1"/>
      <protection hidden="1"/>
    </xf>
    <xf numFmtId="0" fontId="0" fillId="0" borderId="17" xfId="0" applyBorder="1" applyAlignment="1">
      <alignment horizontal="right" wrapText="1"/>
    </xf>
    <xf numFmtId="0" fontId="0" fillId="0" borderId="20" xfId="0" applyBorder="1" applyAlignment="1">
      <alignment horizontal="right" wrapText="1"/>
    </xf>
    <xf numFmtId="0" fontId="27" fillId="0" borderId="141" xfId="0" applyFont="1" applyBorder="1" applyAlignment="1" applyProtection="1">
      <alignment vertical="top" wrapText="1"/>
      <protection hidden="1"/>
    </xf>
    <xf numFmtId="0" fontId="15" fillId="0" borderId="141" xfId="0" applyFont="1" applyBorder="1" applyAlignment="1" applyProtection="1">
      <alignment vertical="top" wrapText="1"/>
      <protection hidden="1"/>
    </xf>
    <xf numFmtId="14" fontId="1" fillId="34" borderId="102" xfId="0" applyNumberFormat="1" applyFont="1" applyFill="1" applyBorder="1" applyAlignment="1" applyProtection="1">
      <alignment horizontal="right"/>
      <protection locked="0"/>
    </xf>
    <xf numFmtId="0" fontId="0" fillId="34" borderId="103" xfId="0" applyFill="1" applyBorder="1" applyAlignment="1" applyProtection="1">
      <alignment horizontal="right"/>
      <protection locked="0"/>
    </xf>
    <xf numFmtId="0" fontId="0" fillId="34" borderId="104" xfId="0" applyFill="1" applyBorder="1" applyAlignment="1" applyProtection="1">
      <alignment horizontal="right"/>
      <protection locked="0"/>
    </xf>
    <xf numFmtId="2" fontId="1" fillId="34" borderId="105" xfId="0" applyNumberFormat="1" applyFont="1" applyFill="1" applyBorder="1" applyAlignment="1" applyProtection="1">
      <alignment horizontal="right"/>
      <protection locked="0"/>
    </xf>
    <xf numFmtId="0" fontId="0" fillId="34" borderId="23" xfId="0" applyFill="1" applyBorder="1" applyAlignment="1" applyProtection="1">
      <alignment/>
      <protection locked="0"/>
    </xf>
    <xf numFmtId="0" fontId="0" fillId="34" borderId="106" xfId="0" applyFill="1" applyBorder="1" applyAlignment="1" applyProtection="1">
      <alignment/>
      <protection locked="0"/>
    </xf>
    <xf numFmtId="0" fontId="0" fillId="34" borderId="107" xfId="0" applyFill="1" applyBorder="1" applyAlignment="1" applyProtection="1">
      <alignment/>
      <protection locked="0"/>
    </xf>
    <xf numFmtId="0" fontId="0" fillId="34" borderId="26" xfId="0" applyFill="1" applyBorder="1" applyAlignment="1" applyProtection="1">
      <alignment/>
      <protection locked="0"/>
    </xf>
    <xf numFmtId="0" fontId="0" fillId="34" borderId="108" xfId="0" applyFill="1" applyBorder="1" applyAlignment="1" applyProtection="1">
      <alignment/>
      <protection locked="0"/>
    </xf>
    <xf numFmtId="0" fontId="1" fillId="0" borderId="142" xfId="0" applyFont="1" applyBorder="1" applyAlignment="1" applyProtection="1">
      <alignment horizontal="center" wrapText="1"/>
      <protection hidden="1"/>
    </xf>
    <xf numFmtId="0" fontId="1" fillId="0" borderId="143" xfId="0" applyFont="1" applyBorder="1" applyAlignment="1" applyProtection="1">
      <alignment horizontal="center" wrapText="1"/>
      <protection hidden="1"/>
    </xf>
    <xf numFmtId="0" fontId="1" fillId="0" borderId="144" xfId="0" applyFont="1" applyBorder="1" applyAlignment="1" applyProtection="1">
      <alignment horizontal="center" wrapText="1"/>
      <protection hidden="1"/>
    </xf>
    <xf numFmtId="0" fontId="1" fillId="0" borderId="130" xfId="0" applyFont="1" applyFill="1" applyBorder="1" applyAlignment="1" applyProtection="1">
      <alignment horizontal="center"/>
      <protection hidden="1"/>
    </xf>
    <xf numFmtId="0" fontId="1" fillId="0" borderId="112" xfId="0" applyFont="1" applyFill="1" applyBorder="1" applyAlignment="1" applyProtection="1">
      <alignment horizontal="center"/>
      <protection hidden="1"/>
    </xf>
    <xf numFmtId="0" fontId="1" fillId="0" borderId="113" xfId="0" applyFont="1" applyFill="1" applyBorder="1" applyAlignment="1" applyProtection="1">
      <alignment horizontal="center"/>
      <protection hidden="1"/>
    </xf>
    <xf numFmtId="2" fontId="22" fillId="0" borderId="0" xfId="0" applyNumberFormat="1" applyFont="1" applyBorder="1" applyAlignment="1" applyProtection="1">
      <alignment horizontal="center" vertical="center" wrapText="1"/>
      <protection hidden="1"/>
    </xf>
    <xf numFmtId="0" fontId="0" fillId="0" borderId="0" xfId="0" applyAlignment="1">
      <alignment horizontal="center" wrapText="1"/>
    </xf>
    <xf numFmtId="0" fontId="5" fillId="0" borderId="0" xfId="0" applyFont="1" applyBorder="1" applyAlignment="1" applyProtection="1">
      <alignment horizontal="center"/>
      <protection locked="0"/>
    </xf>
    <xf numFmtId="0" fontId="26" fillId="0" borderId="0" xfId="0" applyFont="1" applyFill="1" applyBorder="1" applyAlignment="1" applyProtection="1">
      <alignment/>
      <protection hidden="1"/>
    </xf>
    <xf numFmtId="0" fontId="0" fillId="0" borderId="37" xfId="0" applyFill="1" applyBorder="1" applyAlignment="1" applyProtection="1">
      <alignment horizontal="right" wrapText="1"/>
      <protection hidden="1"/>
    </xf>
    <xf numFmtId="0" fontId="0" fillId="0" borderId="17" xfId="0" applyFill="1" applyBorder="1" applyAlignment="1" applyProtection="1">
      <alignment horizontal="right" wrapText="1"/>
      <protection hidden="1"/>
    </xf>
    <xf numFmtId="0" fontId="0" fillId="0" borderId="20" xfId="0" applyFill="1" applyBorder="1" applyAlignment="1" applyProtection="1">
      <alignment horizontal="right" wrapText="1"/>
      <protection hidden="1"/>
    </xf>
    <xf numFmtId="0" fontId="22" fillId="0" borderId="0" xfId="0" applyFont="1" applyAlignment="1">
      <alignment horizontal="center"/>
    </xf>
    <xf numFmtId="0" fontId="5" fillId="0" borderId="0" xfId="0" applyFont="1" applyBorder="1" applyAlignment="1" applyProtection="1">
      <alignment horizontal="center"/>
      <protection hidden="1" locked="0"/>
    </xf>
    <xf numFmtId="0" fontId="1" fillId="0" borderId="0" xfId="0" applyFont="1" applyFill="1" applyBorder="1" applyAlignment="1" applyProtection="1">
      <alignment/>
      <protection hidden="1"/>
    </xf>
    <xf numFmtId="0" fontId="27" fillId="0" borderId="49" xfId="0" applyFont="1" applyBorder="1" applyAlignment="1" applyProtection="1">
      <alignment vertical="top" wrapText="1"/>
      <protection hidden="1"/>
    </xf>
    <xf numFmtId="0" fontId="15" fillId="0" borderId="49" xfId="0" applyFont="1" applyBorder="1" applyAlignment="1" applyProtection="1">
      <alignment vertical="top" wrapText="1"/>
      <protection hidden="1"/>
    </xf>
    <xf numFmtId="0" fontId="1" fillId="0" borderId="80" xfId="0" applyFont="1" applyFill="1" applyBorder="1" applyAlignment="1" applyProtection="1">
      <alignment horizontal="center"/>
      <protection hidden="1"/>
    </xf>
    <xf numFmtId="0" fontId="1" fillId="0" borderId="67" xfId="0" applyFont="1" applyFill="1" applyBorder="1" applyAlignment="1" applyProtection="1">
      <alignment horizontal="center"/>
      <protection hidden="1"/>
    </xf>
    <xf numFmtId="0" fontId="1" fillId="0" borderId="69" xfId="0" applyFont="1" applyFill="1" applyBorder="1" applyAlignment="1" applyProtection="1">
      <alignment horizontal="center"/>
      <protection hidden="1"/>
    </xf>
    <xf numFmtId="0" fontId="1" fillId="0" borderId="128" xfId="0" applyFont="1" applyBorder="1" applyAlignment="1" applyProtection="1">
      <alignment horizontal="center"/>
      <protection hidden="1"/>
    </xf>
    <xf numFmtId="0" fontId="1" fillId="0" borderId="81" xfId="0" applyFont="1" applyBorder="1" applyAlignment="1" applyProtection="1">
      <alignment horizontal="center"/>
      <protection hidden="1"/>
    </xf>
    <xf numFmtId="0" fontId="1" fillId="0" borderId="129" xfId="0" applyFont="1" applyBorder="1" applyAlignment="1" applyProtection="1">
      <alignment horizontal="center"/>
      <protection hidden="1"/>
    </xf>
    <xf numFmtId="2" fontId="22" fillId="0" borderId="81" xfId="0" applyNumberFormat="1" applyFont="1" applyBorder="1" applyAlignment="1" applyProtection="1">
      <alignment horizontal="center" vertical="center" wrapText="1"/>
      <protection hidden="1"/>
    </xf>
    <xf numFmtId="0" fontId="1" fillId="0" borderId="145" xfId="0" applyFont="1" applyFill="1" applyBorder="1" applyAlignment="1" applyProtection="1">
      <alignment horizontal="center"/>
      <protection hidden="1"/>
    </xf>
    <xf numFmtId="0" fontId="1" fillId="0" borderId="146" xfId="0" applyFont="1" applyFill="1" applyBorder="1" applyAlignment="1" applyProtection="1">
      <alignment horizontal="center"/>
      <protection hidden="1"/>
    </xf>
    <xf numFmtId="0" fontId="1" fillId="0" borderId="147" xfId="0" applyFont="1" applyFill="1" applyBorder="1" applyAlignment="1" applyProtection="1">
      <alignment horizontal="center"/>
      <protection hidden="1"/>
    </xf>
    <xf numFmtId="0" fontId="27" fillId="0" borderId="23" xfId="0" applyFont="1" applyBorder="1" applyAlignment="1" applyProtection="1">
      <alignment vertical="top" wrapText="1"/>
      <protection hidden="1"/>
    </xf>
    <xf numFmtId="0" fontId="15" fillId="0" borderId="23" xfId="0" applyFont="1" applyBorder="1" applyAlignment="1" applyProtection="1">
      <alignment vertical="top" wrapText="1"/>
      <protection hidden="1"/>
    </xf>
    <xf numFmtId="0" fontId="1" fillId="0" borderId="130" xfId="0" applyFont="1" applyBorder="1" applyAlignment="1" applyProtection="1">
      <alignment horizontal="center"/>
      <protection hidden="1"/>
    </xf>
    <xf numFmtId="0" fontId="1" fillId="0" borderId="112" xfId="0" applyFont="1" applyBorder="1" applyAlignment="1" applyProtection="1">
      <alignment horizontal="center"/>
      <protection hidden="1"/>
    </xf>
    <xf numFmtId="0" fontId="1" fillId="0" borderId="113" xfId="0" applyFont="1" applyBorder="1" applyAlignment="1" applyProtection="1">
      <alignment horizontal="center"/>
      <protection hidden="1"/>
    </xf>
    <xf numFmtId="0" fontId="0" fillId="34" borderId="0" xfId="0" applyFill="1" applyBorder="1" applyAlignment="1">
      <alignment/>
    </xf>
    <xf numFmtId="0" fontId="0" fillId="34" borderId="29" xfId="0" applyFill="1" applyBorder="1" applyAlignment="1">
      <alignment/>
    </xf>
    <xf numFmtId="0" fontId="0" fillId="34" borderId="0" xfId="0" applyFill="1" applyBorder="1" applyAlignment="1">
      <alignment horizontal="center" vertical="center" wrapText="1"/>
    </xf>
    <xf numFmtId="0" fontId="16" fillId="34" borderId="0" xfId="56" applyFill="1" applyBorder="1" applyAlignment="1" applyProtection="1">
      <alignment/>
      <protection/>
    </xf>
    <xf numFmtId="0" fontId="19" fillId="34" borderId="30" xfId="0" applyFont="1" applyFill="1" applyBorder="1" applyAlignment="1">
      <alignment/>
    </xf>
    <xf numFmtId="0" fontId="0" fillId="34" borderId="30" xfId="0" applyFill="1" applyBorder="1" applyAlignment="1">
      <alignment/>
    </xf>
    <xf numFmtId="0" fontId="0" fillId="34" borderId="42" xfId="0" applyFill="1" applyBorder="1" applyAlignment="1">
      <alignment horizontal="left" vertical="top" wrapText="1"/>
    </xf>
    <xf numFmtId="0" fontId="0" fillId="34" borderId="0" xfId="0" applyFill="1" applyBorder="1" applyAlignment="1">
      <alignment wrapText="1"/>
    </xf>
    <xf numFmtId="0" fontId="0" fillId="34" borderId="43" xfId="0" applyFill="1" applyBorder="1" applyAlignment="1">
      <alignment wrapText="1"/>
    </xf>
    <xf numFmtId="0" fontId="0" fillId="34" borderId="148" xfId="0" applyFill="1" applyBorder="1" applyAlignment="1">
      <alignment vertical="top" wrapText="1"/>
    </xf>
    <xf numFmtId="0" fontId="0" fillId="34" borderId="38" xfId="0" applyFill="1" applyBorder="1" applyAlignment="1">
      <alignment vertical="top" wrapText="1"/>
    </xf>
    <xf numFmtId="0" fontId="0" fillId="34" borderId="149" xfId="0" applyFill="1" applyBorder="1" applyAlignment="1">
      <alignment vertical="top" wrapText="1"/>
    </xf>
    <xf numFmtId="0" fontId="0" fillId="34" borderId="42" xfId="0" applyFill="1" applyBorder="1" applyAlignment="1">
      <alignment vertical="top" wrapText="1"/>
    </xf>
    <xf numFmtId="0" fontId="0" fillId="34" borderId="0" xfId="0" applyFill="1" applyBorder="1" applyAlignment="1">
      <alignment vertical="top" wrapText="1"/>
    </xf>
    <xf numFmtId="0" fontId="0" fillId="34" borderId="43" xfId="0" applyFill="1" applyBorder="1" applyAlignment="1">
      <alignment vertical="top" wrapText="1"/>
    </xf>
    <xf numFmtId="0" fontId="24" fillId="34" borderId="42" xfId="0" applyFont="1" applyFill="1" applyBorder="1" applyAlignment="1">
      <alignment vertical="top" wrapText="1"/>
    </xf>
    <xf numFmtId="0" fontId="24" fillId="34" borderId="0" xfId="0" applyFont="1" applyFill="1" applyBorder="1" applyAlignment="1">
      <alignment vertical="top" wrapText="1"/>
    </xf>
    <xf numFmtId="0" fontId="24" fillId="34" borderId="43" xfId="0" applyFont="1" applyFill="1" applyBorder="1" applyAlignment="1">
      <alignment vertical="top" wrapText="1"/>
    </xf>
    <xf numFmtId="0" fontId="7" fillId="34" borderId="42" xfId="0" applyFont="1" applyFill="1" applyBorder="1" applyAlignment="1">
      <alignment vertical="top" wrapText="1"/>
    </xf>
    <xf numFmtId="0" fontId="7" fillId="34" borderId="0" xfId="0" applyFont="1" applyFill="1" applyBorder="1" applyAlignment="1">
      <alignment vertical="top" wrapText="1"/>
    </xf>
    <xf numFmtId="0" fontId="7" fillId="34" borderId="43" xfId="0" applyFont="1" applyFill="1" applyBorder="1" applyAlignment="1">
      <alignment vertical="top" wrapText="1"/>
    </xf>
    <xf numFmtId="0" fontId="0" fillId="34" borderId="43" xfId="0" applyFill="1" applyBorder="1" applyAlignment="1">
      <alignment/>
    </xf>
    <xf numFmtId="0" fontId="0" fillId="34" borderId="0" xfId="0" applyFill="1" applyBorder="1" applyAlignment="1">
      <alignment horizontal="left" vertical="top" wrapText="1"/>
    </xf>
    <xf numFmtId="0" fontId="0" fillId="34" borderId="43" xfId="0" applyFill="1" applyBorder="1" applyAlignment="1">
      <alignment horizontal="left" vertical="top" wrapText="1"/>
    </xf>
    <xf numFmtId="0" fontId="0" fillId="34" borderId="0" xfId="0" applyFill="1" applyAlignment="1">
      <alignment vertical="top" wrapText="1"/>
    </xf>
    <xf numFmtId="0" fontId="0" fillId="34" borderId="0" xfId="0" applyFill="1" applyAlignment="1">
      <alignment/>
    </xf>
    <xf numFmtId="0" fontId="0" fillId="34" borderId="0" xfId="0" applyFill="1" applyAlignment="1">
      <alignment vertical="top"/>
    </xf>
    <xf numFmtId="0" fontId="0" fillId="34" borderId="0" xfId="0" applyFill="1" applyAlignment="1">
      <alignment/>
    </xf>
    <xf numFmtId="0" fontId="23" fillId="34" borderId="0" xfId="56" applyFont="1" applyFill="1" applyAlignment="1" applyProtection="1">
      <alignment vertical="top" wrapText="1"/>
      <protection/>
    </xf>
    <xf numFmtId="0" fontId="16" fillId="34" borderId="0" xfId="56" applyFont="1" applyFill="1" applyAlignment="1" applyProtection="1">
      <alignment vertical="top" wrapText="1"/>
      <protection/>
    </xf>
    <xf numFmtId="0" fontId="20" fillId="34" borderId="0" xfId="56" applyFont="1" applyFill="1" applyBorder="1" applyAlignment="1" applyProtection="1">
      <alignment/>
      <protection/>
    </xf>
    <xf numFmtId="0" fontId="0" fillId="34" borderId="0" xfId="0" applyFont="1" applyFill="1" applyBorder="1" applyAlignment="1">
      <alignment horizontal="left" vertical="top" wrapText="1"/>
    </xf>
    <xf numFmtId="0" fontId="0" fillId="34" borderId="0" xfId="0" applyFill="1" applyAlignment="1">
      <alignment wrapText="1"/>
    </xf>
    <xf numFmtId="0" fontId="21" fillId="34" borderId="0" xfId="56" applyFont="1" applyFill="1" applyBorder="1" applyAlignment="1" applyProtection="1">
      <alignment horizontal="left" vertical="center"/>
      <protection/>
    </xf>
    <xf numFmtId="0" fontId="16" fillId="34" borderId="0" xfId="56" applyFill="1" applyBorder="1" applyAlignment="1" applyProtection="1">
      <alignment vertical="top" wrapText="1"/>
      <protection/>
    </xf>
    <xf numFmtId="0" fontId="0" fillId="0" borderId="130" xfId="0" applyBorder="1" applyAlignment="1">
      <alignment horizontal="center"/>
    </xf>
    <xf numFmtId="0" fontId="0" fillId="0" borderId="112" xfId="0" applyBorder="1" applyAlignment="1">
      <alignment horizontal="center"/>
    </xf>
    <xf numFmtId="0" fontId="0" fillId="0" borderId="113" xfId="0" applyBorder="1" applyAlignment="1">
      <alignment horizontal="center"/>
    </xf>
    <xf numFmtId="0" fontId="0" fillId="0" borderId="17" xfId="0" applyFill="1" applyBorder="1" applyAlignment="1" applyProtection="1">
      <alignment horizontal="centerContinuous" wrapText="1"/>
      <protection hidden="1"/>
    </xf>
    <xf numFmtId="0" fontId="0" fillId="0" borderId="20" xfId="0" applyFill="1" applyBorder="1" applyAlignment="1" applyProtection="1">
      <alignment horizontal="centerContinuous" wrapText="1"/>
      <protection hidden="1"/>
    </xf>
    <xf numFmtId="0" fontId="0" fillId="0" borderId="17" xfId="0" applyBorder="1" applyAlignment="1" applyProtection="1">
      <alignment horizontal="centerContinuous"/>
      <protection locked="0"/>
    </xf>
    <xf numFmtId="0" fontId="0" fillId="0" borderId="20" xfId="0" applyBorder="1" applyAlignment="1" applyProtection="1">
      <alignment horizontal="centerContinuous"/>
      <protection locked="0"/>
    </xf>
    <xf numFmtId="0" fontId="0" fillId="0" borderId="17" xfId="0" applyFont="1" applyFill="1" applyBorder="1" applyAlignment="1" applyProtection="1">
      <alignment horizontal="centerContinuous" wrapText="1"/>
      <protection hidden="1"/>
    </xf>
    <xf numFmtId="0" fontId="0" fillId="0" borderId="17" xfId="0" applyFill="1" applyBorder="1" applyAlignment="1" applyProtection="1">
      <alignment horizontal="centerContinuous"/>
      <protection locked="0"/>
    </xf>
    <xf numFmtId="0" fontId="0" fillId="0" borderId="20" xfId="0" applyFill="1" applyBorder="1" applyAlignment="1" applyProtection="1">
      <alignment horizontal="centerContinuous"/>
      <protection locked="0"/>
    </xf>
    <xf numFmtId="0" fontId="0" fillId="0" borderId="37" xfId="61" applyFont="1" applyBorder="1" applyAlignment="1" applyProtection="1">
      <alignment horizontal="centerContinuous" wrapText="1"/>
      <protection hidden="1"/>
    </xf>
    <xf numFmtId="0" fontId="0" fillId="0" borderId="37" xfId="61" applyFont="1" applyFill="1" applyBorder="1" applyAlignment="1" applyProtection="1">
      <alignment horizontal="centerContinuous" wrapText="1"/>
      <protection hidden="1"/>
    </xf>
    <xf numFmtId="0" fontId="0" fillId="0" borderId="127" xfId="0" applyFill="1" applyBorder="1" applyAlignment="1" applyProtection="1">
      <alignment horizontal="right" wrapText="1"/>
      <protection hidden="1"/>
    </xf>
    <xf numFmtId="3" fontId="0" fillId="0" borderId="20" xfId="61" applyNumberFormat="1" applyBorder="1" applyAlignment="1" applyProtection="1">
      <alignment horizontal="center"/>
      <protection hidden="1"/>
    </xf>
    <xf numFmtId="3" fontId="0" fillId="0" borderId="20" xfId="61" applyNumberFormat="1" applyBorder="1" applyAlignment="1" applyProtection="1">
      <alignment horizontal="center" vertical="center"/>
      <protection hidden="1"/>
    </xf>
    <xf numFmtId="0" fontId="8" fillId="0" borderId="33" xfId="0" applyFont="1" applyBorder="1" applyAlignment="1" applyProtection="1">
      <alignment horizontal="center"/>
      <protection hidden="1"/>
    </xf>
    <xf numFmtId="0" fontId="0" fillId="0" borderId="0" xfId="61" applyFont="1" applyBorder="1" applyAlignment="1" applyProtection="1">
      <alignment horizontal="right"/>
      <protection hidden="1"/>
    </xf>
    <xf numFmtId="0" fontId="0" fillId="0" borderId="34" xfId="0" applyFill="1" applyBorder="1" applyAlignment="1" applyProtection="1">
      <alignment horizontal="right" wrapText="1"/>
      <protection hidden="1"/>
    </xf>
    <xf numFmtId="0" fontId="0" fillId="0" borderId="32" xfId="0" applyFill="1" applyBorder="1" applyAlignment="1" applyProtection="1">
      <alignment horizontal="right" wrapText="1"/>
      <protection hidden="1"/>
    </xf>
    <xf numFmtId="0" fontId="0" fillId="0" borderId="37" xfId="61" applyFont="1" applyBorder="1" applyAlignment="1" applyProtection="1">
      <alignment horizontal="centerContinuous" wrapText="1"/>
      <protection hidden="1"/>
    </xf>
    <xf numFmtId="0" fontId="0" fillId="0" borderId="37" xfId="61" applyFont="1" applyFill="1" applyBorder="1" applyAlignment="1" applyProtection="1">
      <alignment horizontal="centerContinuous" wrapText="1"/>
      <protection hidden="1"/>
    </xf>
    <xf numFmtId="3" fontId="0" fillId="0" borderId="33" xfId="0" applyNumberFormat="1" applyBorder="1" applyAlignment="1" applyProtection="1">
      <alignment horizontal="center"/>
      <protection hidden="1"/>
    </xf>
    <xf numFmtId="4" fontId="0" fillId="0" borderId="33" xfId="0" applyNumberFormat="1" applyFont="1" applyBorder="1" applyAlignment="1" applyProtection="1">
      <alignment horizontal="center" vertical="center"/>
      <protection hidden="1"/>
    </xf>
    <xf numFmtId="0" fontId="0" fillId="0" borderId="33" xfId="0" applyBorder="1" applyAlignment="1" applyProtection="1">
      <alignment/>
      <protection hidden="1"/>
    </xf>
    <xf numFmtId="0" fontId="0" fillId="0" borderId="0" xfId="61" applyFont="1" applyBorder="1" applyAlignment="1" applyProtection="1">
      <alignment horizontal="right"/>
      <protection hidden="1"/>
    </xf>
    <xf numFmtId="0" fontId="0" fillId="0" borderId="37" xfId="61" applyFont="1" applyBorder="1" applyAlignment="1" applyProtection="1">
      <alignment horizontal="centerContinuous" wrapText="1"/>
      <protection hidden="1"/>
    </xf>
    <xf numFmtId="0" fontId="0" fillId="0" borderId="37" xfId="61" applyFont="1" applyFill="1" applyBorder="1" applyAlignment="1" applyProtection="1">
      <alignment horizontal="centerContinuous" wrapText="1"/>
      <protection hidden="1"/>
    </xf>
    <xf numFmtId="0" fontId="0" fillId="0" borderId="15" xfId="61" applyFont="1" applyBorder="1" applyAlignment="1" applyProtection="1">
      <alignment horizontal="centerContinuous" wrapText="1"/>
      <protection hidden="1"/>
    </xf>
    <xf numFmtId="3" fontId="0" fillId="0" borderId="20" xfId="61" applyNumberFormat="1" applyBorder="1" applyAlignment="1" applyProtection="1">
      <alignment horizontal="center"/>
      <protection hidden="1"/>
    </xf>
    <xf numFmtId="3" fontId="0" fillId="0" borderId="20" xfId="61" applyNumberFormat="1" applyBorder="1" applyAlignment="1" applyProtection="1">
      <alignment horizontal="center" vertical="center"/>
      <protection hidden="1"/>
    </xf>
    <xf numFmtId="0" fontId="0" fillId="0" borderId="0" xfId="61" applyFont="1" applyBorder="1" applyAlignment="1" applyProtection="1">
      <alignment horizontal="right"/>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te" xfId="62"/>
    <cellStyle name="Output" xfId="63"/>
    <cellStyle name="Percent" xfId="64"/>
    <cellStyle name="Percent 2" xfId="65"/>
    <cellStyle name="Title" xfId="66"/>
    <cellStyle name="Total" xfId="67"/>
    <cellStyle name="Warning Text" xfId="68"/>
  </cellStyles>
  <dxfs count="6">
    <dxf>
      <font>
        <b/>
        <i val="0"/>
        <color indexed="10"/>
      </font>
    </dxf>
    <dxf>
      <font>
        <b/>
        <i val="0"/>
        <color indexed="10"/>
      </font>
    </dxf>
    <dxf>
      <font>
        <b/>
        <i val="0"/>
        <color indexed="10"/>
      </font>
    </dxf>
    <dxf>
      <numFmt numFmtId="203" formatCode="0.00%"/>
      <border/>
    </dxf>
    <dxf>
      <numFmt numFmtId="44" formatCode="_(&quot;$&quot;* #,##0.00_);_(&quot;$&quot;* \(#,##0.00\);_(&quot;$&quot;* &quot;-&quot;??_);_(@_)"/>
      <border/>
    </dxf>
    <dxf>
      <alignment horizontal="center"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3.xml" /><Relationship Id="rId15" Type="http://schemas.openxmlformats.org/officeDocument/2006/relationships/pivotCacheDefinition" Target="pivotCache/pivotCacheDefinition6.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4.xml" /><Relationship Id="rId18" Type="http://schemas.openxmlformats.org/officeDocument/2006/relationships/pivotCacheDefinition" Target="pivotCache/pivotCacheDefinition2.xml" /><Relationship Id="rId19" Type="http://schemas.openxmlformats.org/officeDocument/2006/relationships/pivotCacheDefinition" Target="pivotCache/pivotCacheDefinition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hyperlink" Target="#Sheet1!A19:A30" /><Relationship Id="rId2" Type="http://schemas.openxmlformats.org/officeDocument/2006/relationships/hyperlink" Target="#GenlInstr!E6"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38</xdr:row>
      <xdr:rowOff>76200</xdr:rowOff>
    </xdr:from>
    <xdr:to>
      <xdr:col>5</xdr:col>
      <xdr:colOff>190500</xdr:colOff>
      <xdr:row>40</xdr:row>
      <xdr:rowOff>104775</xdr:rowOff>
    </xdr:to>
    <xdr:sp>
      <xdr:nvSpPr>
        <xdr:cNvPr id="1" name="AutoShape 37"/>
        <xdr:cNvSpPr>
          <a:spLocks/>
        </xdr:cNvSpPr>
      </xdr:nvSpPr>
      <xdr:spPr>
        <a:xfrm>
          <a:off x="4229100" y="8343900"/>
          <a:ext cx="133350" cy="495300"/>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39</xdr:row>
      <xdr:rowOff>0</xdr:rowOff>
    </xdr:from>
    <xdr:to>
      <xdr:col>5</xdr:col>
      <xdr:colOff>457200</xdr:colOff>
      <xdr:row>39</xdr:row>
      <xdr:rowOff>133350</xdr:rowOff>
    </xdr:to>
    <xdr:sp>
      <xdr:nvSpPr>
        <xdr:cNvPr id="2" name="AutoShape 40"/>
        <xdr:cNvSpPr>
          <a:spLocks/>
        </xdr:cNvSpPr>
      </xdr:nvSpPr>
      <xdr:spPr>
        <a:xfrm>
          <a:off x="4400550" y="8524875"/>
          <a:ext cx="228600" cy="133350"/>
        </a:xfrm>
        <a:prstGeom prst="leftArrow">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0</xdr:row>
      <xdr:rowOff>95250</xdr:rowOff>
    </xdr:from>
    <xdr:to>
      <xdr:col>17</xdr:col>
      <xdr:colOff>590550</xdr:colOff>
      <xdr:row>1</xdr:row>
      <xdr:rowOff>19050</xdr:rowOff>
    </xdr:to>
    <xdr:sp>
      <xdr:nvSpPr>
        <xdr:cNvPr id="3" name="WordArt 70"/>
        <xdr:cNvSpPr>
          <a:spLocks/>
        </xdr:cNvSpPr>
      </xdr:nvSpPr>
      <xdr:spPr>
        <a:xfrm>
          <a:off x="2257425" y="95250"/>
          <a:ext cx="12106275" cy="5715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161641"/>
                  </a:gs>
                  <a:gs pos="50000">
                    <a:srgbClr val="333399"/>
                  </a:gs>
                  <a:gs pos="100000">
                    <a:srgbClr val="161641"/>
                  </a:gs>
                </a:gsLst>
                <a:lin ang="18900000" scaled="1"/>
              </a:gradFill>
              <a:effectLst>
                <a:outerShdw dist="35921" dir="2700000" algn="ctr">
                  <a:srgbClr val="C0C0C0">
                    <a:alpha val="100000"/>
                  </a:srgbClr>
                </a:outerShdw>
              </a:effectLst>
              <a:latin typeface="Impact"/>
              <a:cs typeface="Impact"/>
            </a:rPr>
            <a:t>Salary Calculations - UCD SOM Faculty (HSCP)</a:t>
          </a:r>
        </a:p>
      </xdr:txBody>
    </xdr:sp>
    <xdr:clientData/>
  </xdr:twoCellAnchor>
  <xdr:twoCellAnchor>
    <xdr:from>
      <xdr:col>12</xdr:col>
      <xdr:colOff>857250</xdr:colOff>
      <xdr:row>68</xdr:row>
      <xdr:rowOff>133350</xdr:rowOff>
    </xdr:from>
    <xdr:to>
      <xdr:col>20</xdr:col>
      <xdr:colOff>47625</xdr:colOff>
      <xdr:row>68</xdr:row>
      <xdr:rowOff>1000125</xdr:rowOff>
    </xdr:to>
    <xdr:sp>
      <xdr:nvSpPr>
        <xdr:cNvPr id="4" name="Rectangle 559"/>
        <xdr:cNvSpPr>
          <a:spLocks/>
        </xdr:cNvSpPr>
      </xdr:nvSpPr>
      <xdr:spPr>
        <a:xfrm>
          <a:off x="11106150" y="12763500"/>
          <a:ext cx="5057775" cy="86677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5</xdr:row>
      <xdr:rowOff>161925</xdr:rowOff>
    </xdr:from>
    <xdr:to>
      <xdr:col>18</xdr:col>
      <xdr:colOff>323850</xdr:colOff>
      <xdr:row>7</xdr:row>
      <xdr:rowOff>180975</xdr:rowOff>
    </xdr:to>
    <xdr:sp>
      <xdr:nvSpPr>
        <xdr:cNvPr id="5" name="Text Box 565"/>
        <xdr:cNvSpPr txBox="1">
          <a:spLocks noChangeArrowheads="1"/>
        </xdr:cNvSpPr>
      </xdr:nvSpPr>
      <xdr:spPr>
        <a:xfrm>
          <a:off x="13115925" y="1228725"/>
          <a:ext cx="172402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VERSION 2
</a:t>
          </a:r>
          <a:r>
            <a:rPr lang="en-US" cap="none" sz="1000" b="0" i="0" u="none" baseline="0">
              <a:solidFill>
                <a:srgbClr val="000000"/>
              </a:solidFill>
              <a:latin typeface="Arial"/>
              <a:ea typeface="Arial"/>
              <a:cs typeface="Arial"/>
            </a:rPr>
            <a:t>AS OF 2/05/05</a:t>
          </a:r>
        </a:p>
      </xdr:txBody>
    </xdr:sp>
    <xdr:clientData/>
  </xdr:twoCellAnchor>
  <xdr:twoCellAnchor>
    <xdr:from>
      <xdr:col>17</xdr:col>
      <xdr:colOff>9525</xdr:colOff>
      <xdr:row>69</xdr:row>
      <xdr:rowOff>66675</xdr:rowOff>
    </xdr:from>
    <xdr:to>
      <xdr:col>20</xdr:col>
      <xdr:colOff>0</xdr:colOff>
      <xdr:row>70</xdr:row>
      <xdr:rowOff>152400</xdr:rowOff>
    </xdr:to>
    <xdr:pic>
      <xdr:nvPicPr>
        <xdr:cNvPr id="6" name="date_on"/>
        <xdr:cNvPicPr preferRelativeResize="1">
          <a:picLocks noChangeAspect="1"/>
        </xdr:cNvPicPr>
      </xdr:nvPicPr>
      <xdr:blipFill>
        <a:blip r:embed="rId1"/>
        <a:stretch>
          <a:fillRect/>
        </a:stretch>
      </xdr:blipFill>
      <xdr:spPr>
        <a:xfrm>
          <a:off x="13782675" y="13773150"/>
          <a:ext cx="2333625" cy="247650"/>
        </a:xfrm>
        <a:prstGeom prst="rect">
          <a:avLst/>
        </a:prstGeom>
        <a:solidFill>
          <a:srgbClr val="FFFFFF"/>
        </a:solidFill>
        <a:ln w="1" cmpd="sng">
          <a:noFill/>
        </a:ln>
      </xdr:spPr>
    </xdr:pic>
    <xdr:clientData fLocksWithSheet="0"/>
  </xdr:twoCellAnchor>
  <xdr:twoCellAnchor>
    <xdr:from>
      <xdr:col>17</xdr:col>
      <xdr:colOff>9525</xdr:colOff>
      <xdr:row>71</xdr:row>
      <xdr:rowOff>9525</xdr:rowOff>
    </xdr:from>
    <xdr:to>
      <xdr:col>20</xdr:col>
      <xdr:colOff>0</xdr:colOff>
      <xdr:row>72</xdr:row>
      <xdr:rowOff>152400</xdr:rowOff>
    </xdr:to>
    <xdr:pic>
      <xdr:nvPicPr>
        <xdr:cNvPr id="7" name="auth_on"/>
        <xdr:cNvPicPr preferRelativeResize="1">
          <a:picLocks noChangeAspect="1"/>
        </xdr:cNvPicPr>
      </xdr:nvPicPr>
      <xdr:blipFill>
        <a:blip r:embed="rId2"/>
        <a:stretch>
          <a:fillRect/>
        </a:stretch>
      </xdr:blipFill>
      <xdr:spPr>
        <a:xfrm>
          <a:off x="13782675" y="14039850"/>
          <a:ext cx="2333625" cy="304800"/>
        </a:xfrm>
        <a:prstGeom prst="rect">
          <a:avLst/>
        </a:prstGeom>
        <a:solidFill>
          <a:srgbClr val="FFFFFF"/>
        </a:solidFill>
        <a:ln w="1" cmpd="sng">
          <a:noFill/>
        </a:ln>
      </xdr:spPr>
    </xdr:pic>
    <xdr:clientData fLocksWithSheet="0"/>
  </xdr:twoCellAnchor>
  <xdr:twoCellAnchor>
    <xdr:from>
      <xdr:col>0</xdr:col>
      <xdr:colOff>38100</xdr:colOff>
      <xdr:row>70</xdr:row>
      <xdr:rowOff>0</xdr:rowOff>
    </xdr:from>
    <xdr:to>
      <xdr:col>10</xdr:col>
      <xdr:colOff>0</xdr:colOff>
      <xdr:row>73</xdr:row>
      <xdr:rowOff>38100</xdr:rowOff>
    </xdr:to>
    <xdr:pic>
      <xdr:nvPicPr>
        <xdr:cNvPr id="8" name="comment_on"/>
        <xdr:cNvPicPr preferRelativeResize="1">
          <a:picLocks noChangeAspect="1"/>
        </xdr:cNvPicPr>
      </xdr:nvPicPr>
      <xdr:blipFill>
        <a:blip r:embed="rId3"/>
        <a:stretch>
          <a:fillRect/>
        </a:stretch>
      </xdr:blipFill>
      <xdr:spPr>
        <a:xfrm>
          <a:off x="38100" y="13868400"/>
          <a:ext cx="8343900" cy="523875"/>
        </a:xfrm>
        <a:prstGeom prst="rect">
          <a:avLst/>
        </a:prstGeom>
        <a:solidFill>
          <a:srgbClr val="FFFFFF"/>
        </a:solidFill>
        <a:ln w="1" cmpd="sng">
          <a:noFill/>
        </a:ln>
      </xdr:spPr>
    </xdr:pic>
    <xdr:clientData fLocksWithSheet="0"/>
  </xdr:twoCellAnchor>
  <xdr:twoCellAnchor>
    <xdr:from>
      <xdr:col>17</xdr:col>
      <xdr:colOff>0</xdr:colOff>
      <xdr:row>10</xdr:row>
      <xdr:rowOff>0</xdr:rowOff>
    </xdr:from>
    <xdr:to>
      <xdr:col>19</xdr:col>
      <xdr:colOff>190500</xdr:colOff>
      <xdr:row>12</xdr:row>
      <xdr:rowOff>457200</xdr:rowOff>
    </xdr:to>
    <xdr:sp>
      <xdr:nvSpPr>
        <xdr:cNvPr id="9" name="Text Box 565"/>
        <xdr:cNvSpPr txBox="1">
          <a:spLocks noChangeArrowheads="1"/>
        </xdr:cNvSpPr>
      </xdr:nvSpPr>
      <xdr:spPr>
        <a:xfrm>
          <a:off x="13773150" y="1476375"/>
          <a:ext cx="1733550" cy="1009650"/>
        </a:xfrm>
        <a:prstGeom prst="rect">
          <a:avLst/>
        </a:prstGeom>
        <a:solidFill>
          <a:srgbClr val="FCD5B5"/>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Calibri"/>
              <a:ea typeface="Calibri"/>
              <a:cs typeface="Calibri"/>
            </a:rPr>
            <a:t>REG/HB VERSION</a:t>
          </a:r>
          <a:r>
            <a:rPr lang="en-US" cap="none" sz="1400" b="0" i="0" u="none" baseline="0">
              <a:solidFill>
                <a:srgbClr val="000000"/>
              </a:solidFill>
              <a:latin typeface="Calibri"/>
              <a:ea typeface="Calibri"/>
              <a:cs typeface="Calibri"/>
            </a:rPr>
            <a:t> 2015
</a:t>
          </a:r>
          <a:r>
            <a:rPr lang="en-US" cap="none" sz="1400" b="0" i="0" u="none" baseline="0">
              <a:solidFill>
                <a:srgbClr val="000000"/>
              </a:solidFill>
              <a:latin typeface="Calibri"/>
              <a:ea typeface="Calibri"/>
              <a:cs typeface="Calibri"/>
            </a:rPr>
            <a:t>JULY 1, 2015 SALARIES
</a:t>
          </a:r>
          <a:r>
            <a:rPr lang="en-US" cap="none" sz="1400" b="0" i="0" u="none" baseline="0">
              <a:solidFill>
                <a:srgbClr val="000000"/>
              </a:solidFill>
              <a:latin typeface="Calibri"/>
              <a:ea typeface="Calibri"/>
              <a:cs typeface="Calibri"/>
            </a:rPr>
            <a:t>with half steps
</a:t>
          </a:r>
          <a:r>
            <a:rPr lang="en-US" cap="none" sz="1400" b="0" i="0" u="none" baseline="0">
              <a:solidFill>
                <a:srgbClr val="000000"/>
              </a:solidFill>
              <a:latin typeface="Calibri"/>
              <a:ea typeface="Calibri"/>
              <a:cs typeface="Calibri"/>
            </a:rPr>
            <a:t>updated for 2016 NIH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36</xdr:row>
      <xdr:rowOff>76200</xdr:rowOff>
    </xdr:from>
    <xdr:to>
      <xdr:col>5</xdr:col>
      <xdr:colOff>190500</xdr:colOff>
      <xdr:row>38</xdr:row>
      <xdr:rowOff>104775</xdr:rowOff>
    </xdr:to>
    <xdr:sp>
      <xdr:nvSpPr>
        <xdr:cNvPr id="1" name="AutoShape 12"/>
        <xdr:cNvSpPr>
          <a:spLocks/>
        </xdr:cNvSpPr>
      </xdr:nvSpPr>
      <xdr:spPr>
        <a:xfrm>
          <a:off x="4391025" y="7458075"/>
          <a:ext cx="133350" cy="504825"/>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37</xdr:row>
      <xdr:rowOff>0</xdr:rowOff>
    </xdr:from>
    <xdr:to>
      <xdr:col>5</xdr:col>
      <xdr:colOff>457200</xdr:colOff>
      <xdr:row>37</xdr:row>
      <xdr:rowOff>133350</xdr:rowOff>
    </xdr:to>
    <xdr:sp>
      <xdr:nvSpPr>
        <xdr:cNvPr id="2" name="AutoShape 13"/>
        <xdr:cNvSpPr>
          <a:spLocks/>
        </xdr:cNvSpPr>
      </xdr:nvSpPr>
      <xdr:spPr>
        <a:xfrm>
          <a:off x="4562475" y="7620000"/>
          <a:ext cx="228600" cy="133350"/>
        </a:xfrm>
        <a:prstGeom prst="leftArrow">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0</xdr:row>
      <xdr:rowOff>38100</xdr:rowOff>
    </xdr:from>
    <xdr:to>
      <xdr:col>19</xdr:col>
      <xdr:colOff>19050</xdr:colOff>
      <xdr:row>0</xdr:row>
      <xdr:rowOff>609600</xdr:rowOff>
    </xdr:to>
    <xdr:sp>
      <xdr:nvSpPr>
        <xdr:cNvPr id="3" name="WordArt 26"/>
        <xdr:cNvSpPr>
          <a:spLocks/>
        </xdr:cNvSpPr>
      </xdr:nvSpPr>
      <xdr:spPr>
        <a:xfrm>
          <a:off x="2057400" y="38100"/>
          <a:ext cx="13849350" cy="5715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161641"/>
                  </a:gs>
                  <a:gs pos="50000">
                    <a:srgbClr val="333399"/>
                  </a:gs>
                  <a:gs pos="100000">
                    <a:srgbClr val="161641"/>
                  </a:gs>
                </a:gsLst>
                <a:lin ang="18900000" scaled="1"/>
              </a:gradFill>
              <a:effectLst>
                <a:outerShdw dist="35921" dir="2700000" algn="ctr">
                  <a:srgbClr val="C0C0C0">
                    <a:alpha val="100000"/>
                  </a:srgbClr>
                </a:outerShdw>
              </a:effectLst>
              <a:latin typeface="Impact"/>
              <a:cs typeface="Impact"/>
            </a:rPr>
            <a:t>Salary Calculations - UCD SOM Faculty (HSCP)</a:t>
          </a:r>
        </a:p>
      </xdr:txBody>
    </xdr:sp>
    <xdr:clientData/>
  </xdr:twoCellAnchor>
  <xdr:twoCellAnchor>
    <xdr:from>
      <xdr:col>16</xdr:col>
      <xdr:colOff>9525</xdr:colOff>
      <xdr:row>66</xdr:row>
      <xdr:rowOff>47625</xdr:rowOff>
    </xdr:from>
    <xdr:to>
      <xdr:col>22</xdr:col>
      <xdr:colOff>257175</xdr:colOff>
      <xdr:row>66</xdr:row>
      <xdr:rowOff>914400</xdr:rowOff>
    </xdr:to>
    <xdr:sp>
      <xdr:nvSpPr>
        <xdr:cNvPr id="4" name="Rectangle 75"/>
        <xdr:cNvSpPr>
          <a:spLocks/>
        </xdr:cNvSpPr>
      </xdr:nvSpPr>
      <xdr:spPr>
        <a:xfrm>
          <a:off x="13020675" y="11496675"/>
          <a:ext cx="5495925" cy="86677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67</xdr:row>
      <xdr:rowOff>28575</xdr:rowOff>
    </xdr:from>
    <xdr:to>
      <xdr:col>8</xdr:col>
      <xdr:colOff>47625</xdr:colOff>
      <xdr:row>71</xdr:row>
      <xdr:rowOff>142875</xdr:rowOff>
    </xdr:to>
    <xdr:pic>
      <xdr:nvPicPr>
        <xdr:cNvPr id="5" name="Comment_off"/>
        <xdr:cNvPicPr preferRelativeResize="1">
          <a:picLocks noChangeAspect="1"/>
        </xdr:cNvPicPr>
      </xdr:nvPicPr>
      <xdr:blipFill>
        <a:blip r:embed="rId1"/>
        <a:stretch>
          <a:fillRect/>
        </a:stretch>
      </xdr:blipFill>
      <xdr:spPr>
        <a:xfrm>
          <a:off x="0" y="12468225"/>
          <a:ext cx="6762750" cy="762000"/>
        </a:xfrm>
        <a:prstGeom prst="rect">
          <a:avLst/>
        </a:prstGeom>
        <a:solidFill>
          <a:srgbClr val="FFFFFF"/>
        </a:solidFill>
        <a:ln w="1" cmpd="sng">
          <a:noFill/>
        </a:ln>
      </xdr:spPr>
    </xdr:pic>
    <xdr:clientData fLocksWithSheet="0"/>
  </xdr:twoCellAnchor>
  <xdr:twoCellAnchor editAs="oneCell">
    <xdr:from>
      <xdr:col>16</xdr:col>
      <xdr:colOff>1152525</xdr:colOff>
      <xdr:row>67</xdr:row>
      <xdr:rowOff>38100</xdr:rowOff>
    </xdr:from>
    <xdr:to>
      <xdr:col>22</xdr:col>
      <xdr:colOff>514350</xdr:colOff>
      <xdr:row>69</xdr:row>
      <xdr:rowOff>38100</xdr:rowOff>
    </xdr:to>
    <xdr:pic>
      <xdr:nvPicPr>
        <xdr:cNvPr id="6" name="date_off"/>
        <xdr:cNvPicPr preferRelativeResize="1">
          <a:picLocks noChangeAspect="1"/>
        </xdr:cNvPicPr>
      </xdr:nvPicPr>
      <xdr:blipFill>
        <a:blip r:embed="rId2"/>
        <a:stretch>
          <a:fillRect/>
        </a:stretch>
      </xdr:blipFill>
      <xdr:spPr>
        <a:xfrm>
          <a:off x="14163675" y="12477750"/>
          <a:ext cx="4610100" cy="323850"/>
        </a:xfrm>
        <a:prstGeom prst="rect">
          <a:avLst/>
        </a:prstGeom>
        <a:solidFill>
          <a:srgbClr val="FFFFFF"/>
        </a:solidFill>
        <a:ln w="1" cmpd="sng">
          <a:noFill/>
        </a:ln>
      </xdr:spPr>
    </xdr:pic>
    <xdr:clientData fLocksWithSheet="0"/>
  </xdr:twoCellAnchor>
  <xdr:twoCellAnchor editAs="oneCell">
    <xdr:from>
      <xdr:col>16</xdr:col>
      <xdr:colOff>1152525</xdr:colOff>
      <xdr:row>69</xdr:row>
      <xdr:rowOff>114300</xdr:rowOff>
    </xdr:from>
    <xdr:to>
      <xdr:col>22</xdr:col>
      <xdr:colOff>514350</xdr:colOff>
      <xdr:row>71</xdr:row>
      <xdr:rowOff>95250</xdr:rowOff>
    </xdr:to>
    <xdr:pic>
      <xdr:nvPicPr>
        <xdr:cNvPr id="7" name="authorized_off"/>
        <xdr:cNvPicPr preferRelativeResize="1">
          <a:picLocks noChangeAspect="1"/>
        </xdr:cNvPicPr>
      </xdr:nvPicPr>
      <xdr:blipFill>
        <a:blip r:embed="rId3"/>
        <a:stretch>
          <a:fillRect/>
        </a:stretch>
      </xdr:blipFill>
      <xdr:spPr>
        <a:xfrm>
          <a:off x="14163675" y="12877800"/>
          <a:ext cx="4610100" cy="304800"/>
        </a:xfrm>
        <a:prstGeom prst="rect">
          <a:avLst/>
        </a:prstGeom>
        <a:solidFill>
          <a:srgbClr val="FFFFFF"/>
        </a:solidFill>
        <a:ln w="1" cmpd="sng">
          <a:noFill/>
        </a:ln>
      </xdr:spPr>
    </xdr:pic>
    <xdr:clientData fLocksWithSheet="0"/>
  </xdr:twoCellAnchor>
  <xdr:twoCellAnchor>
    <xdr:from>
      <xdr:col>17</xdr:col>
      <xdr:colOff>685800</xdr:colOff>
      <xdr:row>10</xdr:row>
      <xdr:rowOff>47625</xdr:rowOff>
    </xdr:from>
    <xdr:to>
      <xdr:col>19</xdr:col>
      <xdr:colOff>781050</xdr:colOff>
      <xdr:row>13</xdr:row>
      <xdr:rowOff>219075</xdr:rowOff>
    </xdr:to>
    <xdr:sp>
      <xdr:nvSpPr>
        <xdr:cNvPr id="8" name="Text Box 565"/>
        <xdr:cNvSpPr txBox="1">
          <a:spLocks noChangeArrowheads="1"/>
        </xdr:cNvSpPr>
      </xdr:nvSpPr>
      <xdr:spPr>
        <a:xfrm>
          <a:off x="14868525" y="1257300"/>
          <a:ext cx="1800225" cy="1257300"/>
        </a:xfrm>
        <a:prstGeom prst="rect">
          <a:avLst/>
        </a:prstGeom>
        <a:solidFill>
          <a:srgbClr val="FCD5B5"/>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Calibri"/>
              <a:ea typeface="Calibri"/>
              <a:cs typeface="Calibri"/>
            </a:rPr>
            <a:t>REG/HB VERSION</a:t>
          </a:r>
          <a:r>
            <a:rPr lang="en-US" cap="none" sz="1400" b="0" i="0" u="none" baseline="0">
              <a:solidFill>
                <a:srgbClr val="000000"/>
              </a:solidFill>
              <a:latin typeface="Calibri"/>
              <a:ea typeface="Calibri"/>
              <a:cs typeface="Calibri"/>
            </a:rPr>
            <a:t> 2015 - off scale
</a:t>
          </a:r>
          <a:r>
            <a:rPr lang="en-US" cap="none" sz="1400" b="0" i="0" u="none" baseline="0">
              <a:solidFill>
                <a:srgbClr val="000000"/>
              </a:solidFill>
              <a:latin typeface="Calibri"/>
              <a:ea typeface="Calibri"/>
              <a:cs typeface="Calibri"/>
            </a:rPr>
            <a:t>JULY 1, 2015 SALARIES
</a:t>
          </a:r>
          <a:r>
            <a:rPr lang="en-US" cap="none" sz="1400" b="0" i="0" u="none" baseline="0">
              <a:solidFill>
                <a:srgbClr val="000000"/>
              </a:solidFill>
              <a:latin typeface="Calibri"/>
              <a:ea typeface="Calibri"/>
              <a:cs typeface="Calibri"/>
            </a:rPr>
            <a:t>with half steps
</a:t>
          </a:r>
          <a:r>
            <a:rPr lang="en-US" cap="none" sz="1400" b="0" i="0" u="none" baseline="0">
              <a:solidFill>
                <a:srgbClr val="000000"/>
              </a:solidFill>
              <a:latin typeface="Calibri"/>
              <a:ea typeface="Calibri"/>
              <a:cs typeface="Calibri"/>
            </a:rPr>
            <a:t>updated for 2016 NIH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0</xdr:row>
      <xdr:rowOff>47625</xdr:rowOff>
    </xdr:from>
    <xdr:to>
      <xdr:col>17</xdr:col>
      <xdr:colOff>28575</xdr:colOff>
      <xdr:row>0</xdr:row>
      <xdr:rowOff>619125</xdr:rowOff>
    </xdr:to>
    <xdr:sp>
      <xdr:nvSpPr>
        <xdr:cNvPr id="1" name="WordArt 21"/>
        <xdr:cNvSpPr>
          <a:spLocks/>
        </xdr:cNvSpPr>
      </xdr:nvSpPr>
      <xdr:spPr>
        <a:xfrm>
          <a:off x="1428750" y="47625"/>
          <a:ext cx="11677650" cy="5715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161641"/>
                  </a:gs>
                  <a:gs pos="50000">
                    <a:srgbClr val="333399"/>
                  </a:gs>
                  <a:gs pos="100000">
                    <a:srgbClr val="161641"/>
                  </a:gs>
                </a:gsLst>
                <a:lin ang="18900000" scaled="1"/>
              </a:gradFill>
              <a:effectLst>
                <a:outerShdw dist="35921" dir="2700000" algn="ctr">
                  <a:srgbClr val="C0C0C0">
                    <a:alpha val="100000"/>
                  </a:srgbClr>
                </a:outerShdw>
              </a:effectLst>
              <a:latin typeface="Impact"/>
              <a:cs typeface="Impact"/>
            </a:rPr>
            <a:t>Salary Calculations - UCD SOM Faculty (HSCP)</a:t>
          </a:r>
        </a:p>
      </xdr:txBody>
    </xdr:sp>
    <xdr:clientData/>
  </xdr:twoCellAnchor>
  <xdr:twoCellAnchor>
    <xdr:from>
      <xdr:col>13</xdr:col>
      <xdr:colOff>28575</xdr:colOff>
      <xdr:row>65</xdr:row>
      <xdr:rowOff>9525</xdr:rowOff>
    </xdr:from>
    <xdr:to>
      <xdr:col>19</xdr:col>
      <xdr:colOff>847725</xdr:colOff>
      <xdr:row>66</xdr:row>
      <xdr:rowOff>38100</xdr:rowOff>
    </xdr:to>
    <xdr:sp>
      <xdr:nvSpPr>
        <xdr:cNvPr id="2" name="Rectangle 88"/>
        <xdr:cNvSpPr>
          <a:spLocks/>
        </xdr:cNvSpPr>
      </xdr:nvSpPr>
      <xdr:spPr>
        <a:xfrm>
          <a:off x="10420350" y="11782425"/>
          <a:ext cx="5219700" cy="107632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9525</xdr:colOff>
      <xdr:row>66</xdr:row>
      <xdr:rowOff>76200</xdr:rowOff>
    </xdr:from>
    <xdr:to>
      <xdr:col>20</xdr:col>
      <xdr:colOff>9525</xdr:colOff>
      <xdr:row>68</xdr:row>
      <xdr:rowOff>28575</xdr:rowOff>
    </xdr:to>
    <xdr:pic>
      <xdr:nvPicPr>
        <xdr:cNvPr id="3" name="date_above"/>
        <xdr:cNvPicPr preferRelativeResize="1">
          <a:picLocks noChangeAspect="1"/>
        </xdr:cNvPicPr>
      </xdr:nvPicPr>
      <xdr:blipFill>
        <a:blip r:embed="rId1"/>
        <a:stretch>
          <a:fillRect/>
        </a:stretch>
      </xdr:blipFill>
      <xdr:spPr>
        <a:xfrm>
          <a:off x="13087350" y="12896850"/>
          <a:ext cx="2571750" cy="276225"/>
        </a:xfrm>
        <a:prstGeom prst="rect">
          <a:avLst/>
        </a:prstGeom>
        <a:noFill/>
        <a:ln w="9525" cmpd="sng">
          <a:noFill/>
        </a:ln>
      </xdr:spPr>
    </xdr:pic>
    <xdr:clientData/>
  </xdr:twoCellAnchor>
  <xdr:twoCellAnchor editAs="oneCell">
    <xdr:from>
      <xdr:col>17</xdr:col>
      <xdr:colOff>0</xdr:colOff>
      <xdr:row>68</xdr:row>
      <xdr:rowOff>66675</xdr:rowOff>
    </xdr:from>
    <xdr:to>
      <xdr:col>20</xdr:col>
      <xdr:colOff>28575</xdr:colOff>
      <xdr:row>70</xdr:row>
      <xdr:rowOff>9525</xdr:rowOff>
    </xdr:to>
    <xdr:pic>
      <xdr:nvPicPr>
        <xdr:cNvPr id="4" name="approved_above"/>
        <xdr:cNvPicPr preferRelativeResize="1">
          <a:picLocks noChangeAspect="1"/>
        </xdr:cNvPicPr>
      </xdr:nvPicPr>
      <xdr:blipFill>
        <a:blip r:embed="rId2"/>
        <a:stretch>
          <a:fillRect/>
        </a:stretch>
      </xdr:blipFill>
      <xdr:spPr>
        <a:xfrm>
          <a:off x="13077825" y="13211175"/>
          <a:ext cx="2600325" cy="266700"/>
        </a:xfrm>
        <a:prstGeom prst="rect">
          <a:avLst/>
        </a:prstGeom>
        <a:noFill/>
        <a:ln w="9525" cmpd="sng">
          <a:noFill/>
        </a:ln>
      </xdr:spPr>
    </xdr:pic>
    <xdr:clientData fLocksWithSheet="0"/>
  </xdr:twoCellAnchor>
  <xdr:twoCellAnchor editAs="oneCell">
    <xdr:from>
      <xdr:col>0</xdr:col>
      <xdr:colOff>38100</xdr:colOff>
      <xdr:row>67</xdr:row>
      <xdr:rowOff>9525</xdr:rowOff>
    </xdr:from>
    <xdr:to>
      <xdr:col>7</xdr:col>
      <xdr:colOff>733425</xdr:colOff>
      <xdr:row>70</xdr:row>
      <xdr:rowOff>47625</xdr:rowOff>
    </xdr:to>
    <xdr:pic>
      <xdr:nvPicPr>
        <xdr:cNvPr id="5" name="comment_above"/>
        <xdr:cNvPicPr preferRelativeResize="1">
          <a:picLocks noChangeAspect="1"/>
        </xdr:cNvPicPr>
      </xdr:nvPicPr>
      <xdr:blipFill>
        <a:blip r:embed="rId3"/>
        <a:stretch>
          <a:fillRect/>
        </a:stretch>
      </xdr:blipFill>
      <xdr:spPr>
        <a:xfrm>
          <a:off x="38100" y="12992100"/>
          <a:ext cx="6029325" cy="523875"/>
        </a:xfrm>
        <a:prstGeom prst="rect">
          <a:avLst/>
        </a:prstGeom>
        <a:noFill/>
        <a:ln w="9525" cmpd="sng">
          <a:noFill/>
        </a:ln>
      </xdr:spPr>
    </xdr:pic>
    <xdr:clientData fLocksWithSheet="0"/>
  </xdr:twoCellAnchor>
  <xdr:twoCellAnchor>
    <xdr:from>
      <xdr:col>17</xdr:col>
      <xdr:colOff>0</xdr:colOff>
      <xdr:row>12</xdr:row>
      <xdr:rowOff>0</xdr:rowOff>
    </xdr:from>
    <xdr:to>
      <xdr:col>19</xdr:col>
      <xdr:colOff>66675</xdr:colOff>
      <xdr:row>14</xdr:row>
      <xdr:rowOff>171450</xdr:rowOff>
    </xdr:to>
    <xdr:sp>
      <xdr:nvSpPr>
        <xdr:cNvPr id="6" name="Text Box 565"/>
        <xdr:cNvSpPr txBox="1">
          <a:spLocks noChangeArrowheads="1"/>
        </xdr:cNvSpPr>
      </xdr:nvSpPr>
      <xdr:spPr>
        <a:xfrm>
          <a:off x="13077825" y="2047875"/>
          <a:ext cx="1781175" cy="1257300"/>
        </a:xfrm>
        <a:prstGeom prst="rect">
          <a:avLst/>
        </a:prstGeom>
        <a:solidFill>
          <a:srgbClr val="FCD5B5"/>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Calibri"/>
              <a:ea typeface="Calibri"/>
              <a:cs typeface="Calibri"/>
            </a:rPr>
            <a:t>REG/HB VERSION</a:t>
          </a:r>
          <a:r>
            <a:rPr lang="en-US" cap="none" sz="1400" b="0" i="0" u="none" baseline="0">
              <a:solidFill>
                <a:srgbClr val="000000"/>
              </a:solidFill>
              <a:latin typeface="Calibri"/>
              <a:ea typeface="Calibri"/>
              <a:cs typeface="Calibri"/>
            </a:rPr>
            <a:t> 2015 - above scale
</a:t>
          </a:r>
          <a:r>
            <a:rPr lang="en-US" cap="none" sz="1400" b="0" i="0" u="none" baseline="0">
              <a:solidFill>
                <a:srgbClr val="000000"/>
              </a:solidFill>
              <a:latin typeface="Calibri"/>
              <a:ea typeface="Calibri"/>
              <a:cs typeface="Calibri"/>
            </a:rPr>
            <a:t>JULY 1, 2015 SALARIES
</a:t>
          </a:r>
          <a:r>
            <a:rPr lang="en-US" cap="none" sz="1400" b="0" i="0" u="none" baseline="0">
              <a:solidFill>
                <a:srgbClr val="000000"/>
              </a:solidFill>
              <a:latin typeface="Calibri"/>
              <a:ea typeface="Calibri"/>
              <a:cs typeface="Calibri"/>
            </a:rPr>
            <a:t>with half steps
</a:t>
          </a:r>
          <a:r>
            <a:rPr lang="en-US" cap="none" sz="1400" b="0" i="0" u="none" baseline="0">
              <a:solidFill>
                <a:srgbClr val="000000"/>
              </a:solidFill>
              <a:latin typeface="Calibri"/>
              <a:ea typeface="Calibri"/>
              <a:cs typeface="Calibri"/>
            </a:rPr>
            <a:t>updated for 2016 NIH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0</xdr:rowOff>
    </xdr:from>
    <xdr:to>
      <xdr:col>5</xdr:col>
      <xdr:colOff>2390775</xdr:colOff>
      <xdr:row>1</xdr:row>
      <xdr:rowOff>571500</xdr:rowOff>
    </xdr:to>
    <xdr:sp>
      <xdr:nvSpPr>
        <xdr:cNvPr id="1" name="WordArt 1"/>
        <xdr:cNvSpPr>
          <a:spLocks/>
        </xdr:cNvSpPr>
      </xdr:nvSpPr>
      <xdr:spPr>
        <a:xfrm>
          <a:off x="247650" y="161925"/>
          <a:ext cx="8448675" cy="571500"/>
        </a:xfrm>
        <a:prstGeom prst="rect"/>
        <a:noFill/>
      </xdr:spPr>
      <xdr:txBody>
        <a:bodyPr fromWordArt="1" wrap="none" lIns="91440" tIns="45720" rIns="91440" bIns="45720">
          <a:prstTxWarp prst="textPlain"/>
        </a:bodyPr>
        <a:p>
          <a:pPr algn="just"/>
          <a:r>
            <a:rPr sz="1200" b="1" kern="10" spc="0">
              <a:ln w="9525" cmpd="sng">
                <a:solidFill>
                  <a:srgbClr val="000000"/>
                </a:solidFill>
                <a:headEnd type="none"/>
                <a:tailEnd type="none"/>
              </a:ln>
              <a:solidFill>
                <a:srgbClr val="008080"/>
              </a:solidFill>
              <a:latin typeface="Century Schoolbook"/>
              <a:cs typeface="Century Schoolbook"/>
            </a:rPr>
            <a:t>SALARY CALCULATIONS for COMPENSATION PLAN FACULTY </a:t>
          </a:r>
        </a:p>
      </xdr:txBody>
    </xdr:sp>
    <xdr:clientData/>
  </xdr:twoCellAnchor>
  <xdr:twoCellAnchor>
    <xdr:from>
      <xdr:col>2</xdr:col>
      <xdr:colOff>209550</xdr:colOff>
      <xdr:row>2</xdr:row>
      <xdr:rowOff>95250</xdr:rowOff>
    </xdr:from>
    <xdr:to>
      <xdr:col>3</xdr:col>
      <xdr:colOff>2381250</xdr:colOff>
      <xdr:row>2</xdr:row>
      <xdr:rowOff>238125</xdr:rowOff>
    </xdr:to>
    <xdr:sp>
      <xdr:nvSpPr>
        <xdr:cNvPr id="2" name="WordArt 2"/>
        <xdr:cNvSpPr>
          <a:spLocks/>
        </xdr:cNvSpPr>
      </xdr:nvSpPr>
      <xdr:spPr>
        <a:xfrm>
          <a:off x="3171825" y="895350"/>
          <a:ext cx="2552700" cy="142875"/>
        </a:xfrm>
        <a:prstGeom prst="rect"/>
        <a:noFill/>
      </xdr:spPr>
      <xdr:txBody>
        <a:bodyPr fromWordArt="1" wrap="none" lIns="91440" tIns="45720" rIns="91440" bIns="45720">
          <a:prstTxWarp prst="textPlain"/>
        </a:bodyPr>
        <a:p>
          <a:pPr algn="ctr"/>
          <a:r>
            <a:rPr sz="800" b="1" kern="10" spc="0">
              <a:ln w="9525" cmpd="sng">
                <a:solidFill>
                  <a:srgbClr val="000000"/>
                </a:solidFill>
                <a:headEnd type="none"/>
                <a:tailEnd type="none"/>
              </a:ln>
              <a:solidFill>
                <a:srgbClr val="008080"/>
              </a:solidFill>
              <a:latin typeface="Century Schoolbook"/>
              <a:cs typeface="Century Schoolbook"/>
            </a:rPr>
            <a:t>Comments and Instructions</a:t>
          </a:r>
        </a:p>
      </xdr:txBody>
    </xdr:sp>
    <xdr:clientData/>
  </xdr:twoCellAnchor>
  <xdr:twoCellAnchor>
    <xdr:from>
      <xdr:col>4</xdr:col>
      <xdr:colOff>295275</xdr:colOff>
      <xdr:row>2</xdr:row>
      <xdr:rowOff>133350</xdr:rowOff>
    </xdr:from>
    <xdr:to>
      <xdr:col>5</xdr:col>
      <xdr:colOff>1400175</xdr:colOff>
      <xdr:row>2</xdr:row>
      <xdr:rowOff>276225</xdr:rowOff>
    </xdr:to>
    <xdr:sp>
      <xdr:nvSpPr>
        <xdr:cNvPr id="3" name="WordArt 3"/>
        <xdr:cNvSpPr>
          <a:spLocks/>
        </xdr:cNvSpPr>
      </xdr:nvSpPr>
      <xdr:spPr>
        <a:xfrm>
          <a:off x="6219825" y="933450"/>
          <a:ext cx="1485900" cy="142875"/>
        </a:xfrm>
        <a:prstGeom prst="rect"/>
        <a:noFill/>
      </xdr:spPr>
      <xdr:txBody>
        <a:bodyPr fromWordArt="1" wrap="none" lIns="91440" tIns="45720" rIns="91440" bIns="45720">
          <a:prstTxWarp prst="textPlain"/>
        </a:bodyPr>
        <a:p>
          <a:pPr algn="ctr"/>
          <a:r>
            <a:rPr sz="800" b="1" kern="10" spc="0">
              <a:ln w="9525" cmpd="sng">
                <a:solidFill>
                  <a:srgbClr val="000000"/>
                </a:solidFill>
                <a:headEnd type="none"/>
                <a:tailEnd type="none"/>
              </a:ln>
              <a:solidFill>
                <a:srgbClr val="008080"/>
              </a:solidFill>
              <a:latin typeface="Century Schoolbook"/>
              <a:cs typeface="Century Schoolbook"/>
            </a:rPr>
            <a:t>How to Navigate</a:t>
          </a:r>
        </a:p>
      </xdr:txBody>
    </xdr:sp>
    <xdr:clientData/>
  </xdr:twoCellAnchor>
  <xdr:twoCellAnchor>
    <xdr:from>
      <xdr:col>0</xdr:col>
      <xdr:colOff>190500</xdr:colOff>
      <xdr:row>2</xdr:row>
      <xdr:rowOff>104775</xdr:rowOff>
    </xdr:from>
    <xdr:to>
      <xdr:col>1</xdr:col>
      <xdr:colOff>2247900</xdr:colOff>
      <xdr:row>2</xdr:row>
      <xdr:rowOff>238125</xdr:rowOff>
    </xdr:to>
    <xdr:sp>
      <xdr:nvSpPr>
        <xdr:cNvPr id="4" name="WordArt 4"/>
        <xdr:cNvSpPr>
          <a:spLocks/>
        </xdr:cNvSpPr>
      </xdr:nvSpPr>
      <xdr:spPr>
        <a:xfrm>
          <a:off x="190500" y="904875"/>
          <a:ext cx="2438400" cy="133350"/>
        </a:xfrm>
        <a:prstGeom prst="rect"/>
        <a:noFill/>
      </xdr:spPr>
      <xdr:txBody>
        <a:bodyPr fromWordArt="1" wrap="none" lIns="91440" tIns="45720" rIns="91440" bIns="45720">
          <a:prstTxWarp prst="textPlain"/>
        </a:bodyPr>
        <a:p>
          <a:pPr algn="ctr"/>
          <a:r>
            <a:rPr sz="800" b="1" kern="10" spc="0">
              <a:ln w="9525" cmpd="sng">
                <a:solidFill>
                  <a:srgbClr val="000000"/>
                </a:solidFill>
                <a:headEnd type="none"/>
                <a:tailEnd type="none"/>
              </a:ln>
              <a:solidFill>
                <a:srgbClr val="008080"/>
              </a:solidFill>
              <a:latin typeface="Century Schoolbook"/>
              <a:cs typeface="Century Schoolbook"/>
            </a:rPr>
            <a:t>Where to Enter Information</a:t>
          </a:r>
        </a:p>
      </xdr:txBody>
    </xdr:sp>
    <xdr:clientData/>
  </xdr:twoCellAnchor>
  <xdr:twoCellAnchor>
    <xdr:from>
      <xdr:col>0</xdr:col>
      <xdr:colOff>190500</xdr:colOff>
      <xdr:row>8</xdr:row>
      <xdr:rowOff>190500</xdr:rowOff>
    </xdr:from>
    <xdr:to>
      <xdr:col>1</xdr:col>
      <xdr:colOff>2000250</xdr:colOff>
      <xdr:row>8</xdr:row>
      <xdr:rowOff>314325</xdr:rowOff>
    </xdr:to>
    <xdr:sp>
      <xdr:nvSpPr>
        <xdr:cNvPr id="5" name="WordArt 5"/>
        <xdr:cNvSpPr>
          <a:spLocks/>
        </xdr:cNvSpPr>
      </xdr:nvSpPr>
      <xdr:spPr>
        <a:xfrm>
          <a:off x="190500" y="3486150"/>
          <a:ext cx="2190750" cy="114300"/>
        </a:xfrm>
        <a:prstGeom prst="rect"/>
        <a:noFill/>
      </xdr:spPr>
      <xdr:txBody>
        <a:bodyPr fromWordArt="1" wrap="none" lIns="91440" tIns="45720" rIns="91440" bIns="45720">
          <a:prstTxWarp prst="textPlain"/>
        </a:bodyPr>
        <a:p>
          <a:pPr algn="ctr"/>
          <a:r>
            <a:rPr sz="800" b="1" kern="10" spc="0">
              <a:ln w="9525" cmpd="sng">
                <a:solidFill>
                  <a:srgbClr val="000000"/>
                </a:solidFill>
                <a:headEnd type="none"/>
                <a:tailEnd type="none"/>
              </a:ln>
              <a:solidFill>
                <a:srgbClr val="008080"/>
              </a:solidFill>
              <a:latin typeface="Century Schoolbook"/>
              <a:cs typeface="Century Schoolbook"/>
            </a:rPr>
            <a:t>General Instructions:</a:t>
          </a:r>
        </a:p>
      </xdr:txBody>
    </xdr:sp>
    <xdr:clientData/>
  </xdr:twoCellAnchor>
  <xdr:twoCellAnchor>
    <xdr:from>
      <xdr:col>0</xdr:col>
      <xdr:colOff>200025</xdr:colOff>
      <xdr:row>3</xdr:row>
      <xdr:rowOff>1476375</xdr:rowOff>
    </xdr:from>
    <xdr:to>
      <xdr:col>2</xdr:col>
      <xdr:colOff>47625</xdr:colOff>
      <xdr:row>6</xdr:row>
      <xdr:rowOff>9525</xdr:rowOff>
    </xdr:to>
    <xdr:sp>
      <xdr:nvSpPr>
        <xdr:cNvPr id="6" name="WordArt 6">
          <a:hlinkClick r:id="rId1"/>
        </xdr:cNvPr>
        <xdr:cNvSpPr>
          <a:spLocks/>
        </xdr:cNvSpPr>
      </xdr:nvSpPr>
      <xdr:spPr>
        <a:xfrm>
          <a:off x="200025" y="2609850"/>
          <a:ext cx="2809875" cy="371475"/>
        </a:xfrm>
        <a:prstGeom prst="rect"/>
        <a:noFill/>
      </xdr:spPr>
      <xdr:txBody>
        <a:bodyPr fromWordArt="1" wrap="none" lIns="91440" tIns="45720" rIns="91440" bIns="45720">
          <a:prstTxWarp prst="textPlain"/>
        </a:bodyPr>
        <a:p>
          <a:pPr algn="ctr"/>
          <a:r>
            <a:rPr sz="800" kern="10" spc="0">
              <a:ln w="9525" cmpd="sng">
                <a:solidFill>
                  <a:srgbClr val="000000"/>
                </a:solidFill>
                <a:headEnd type="none"/>
                <a:tailEnd type="none"/>
              </a:ln>
              <a:solidFill>
                <a:srgbClr val="FF0000"/>
              </a:solidFill>
              <a:latin typeface="Arial Black"/>
              <a:cs typeface="Arial Black"/>
            </a:rPr>
            <a:t>Link To: Important Rules to Remember</a:t>
          </a:r>
        </a:p>
      </xdr:txBody>
    </xdr:sp>
    <xdr:clientData/>
  </xdr:twoCellAnchor>
  <xdr:twoCellAnchor>
    <xdr:from>
      <xdr:col>1</xdr:col>
      <xdr:colOff>942975</xdr:colOff>
      <xdr:row>18</xdr:row>
      <xdr:rowOff>238125</xdr:rowOff>
    </xdr:from>
    <xdr:to>
      <xdr:col>3</xdr:col>
      <xdr:colOff>1685925</xdr:colOff>
      <xdr:row>18</xdr:row>
      <xdr:rowOff>504825</xdr:rowOff>
    </xdr:to>
    <xdr:sp>
      <xdr:nvSpPr>
        <xdr:cNvPr id="7" name="WordArt 7">
          <a:hlinkClick r:id="rId2"/>
        </xdr:cNvPr>
        <xdr:cNvSpPr>
          <a:spLocks/>
        </xdr:cNvSpPr>
      </xdr:nvSpPr>
      <xdr:spPr>
        <a:xfrm>
          <a:off x="1323975" y="14039850"/>
          <a:ext cx="3705225" cy="2667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0000"/>
              </a:solidFill>
              <a:latin typeface="Arial Black"/>
              <a:cs typeface="Arial Black"/>
            </a:rPr>
            <a:t>Important Rules to Remember</a:t>
          </a:r>
        </a:p>
      </xdr:txBody>
    </xdr:sp>
    <xdr:clientData/>
  </xdr:twoCellAnchor>
  <xdr:twoCellAnchor>
    <xdr:from>
      <xdr:col>0</xdr:col>
      <xdr:colOff>9525</xdr:colOff>
      <xdr:row>19</xdr:row>
      <xdr:rowOff>152400</xdr:rowOff>
    </xdr:from>
    <xdr:to>
      <xdr:col>1</xdr:col>
      <xdr:colOff>1628775</xdr:colOff>
      <xdr:row>19</xdr:row>
      <xdr:rowOff>333375</xdr:rowOff>
    </xdr:to>
    <xdr:sp>
      <xdr:nvSpPr>
        <xdr:cNvPr id="8" name="WordArt 8"/>
        <xdr:cNvSpPr>
          <a:spLocks/>
        </xdr:cNvSpPr>
      </xdr:nvSpPr>
      <xdr:spPr>
        <a:xfrm>
          <a:off x="9525" y="14468475"/>
          <a:ext cx="2000250" cy="1809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0000"/>
              </a:solidFill>
              <a:latin typeface="Arial Black"/>
              <a:cs typeface="Arial Black"/>
            </a:rPr>
            <a:t>Re: 199XX Funds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352425</xdr:rowOff>
    </xdr:from>
    <xdr:to>
      <xdr:col>5</xdr:col>
      <xdr:colOff>2562225</xdr:colOff>
      <xdr:row>0</xdr:row>
      <xdr:rowOff>581025</xdr:rowOff>
    </xdr:to>
    <xdr:sp>
      <xdr:nvSpPr>
        <xdr:cNvPr id="1" name="WordArt 2"/>
        <xdr:cNvSpPr>
          <a:spLocks/>
        </xdr:cNvSpPr>
      </xdr:nvSpPr>
      <xdr:spPr>
        <a:xfrm>
          <a:off x="676275" y="352425"/>
          <a:ext cx="8191500" cy="228600"/>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8080"/>
              </a:solidFill>
              <a:latin typeface="Century Schoolbook"/>
              <a:cs typeface="Century Schoolbook"/>
            </a:rPr>
            <a:t>OFF-SCALE SALARY CALCULATIONS for COMPENSATION PLAN FACULTY</a:t>
          </a:r>
        </a:p>
      </xdr:txBody>
    </xdr:sp>
    <xdr:clientData/>
  </xdr:twoCellAnchor>
  <xdr:twoCellAnchor>
    <xdr:from>
      <xdr:col>0</xdr:col>
      <xdr:colOff>304800</xdr:colOff>
      <xdr:row>3</xdr:row>
      <xdr:rowOff>314325</xdr:rowOff>
    </xdr:from>
    <xdr:to>
      <xdr:col>5</xdr:col>
      <xdr:colOff>476250</xdr:colOff>
      <xdr:row>4</xdr:row>
      <xdr:rowOff>0</xdr:rowOff>
    </xdr:to>
    <xdr:sp>
      <xdr:nvSpPr>
        <xdr:cNvPr id="2" name="WordArt 3"/>
        <xdr:cNvSpPr>
          <a:spLocks/>
        </xdr:cNvSpPr>
      </xdr:nvSpPr>
      <xdr:spPr>
        <a:xfrm>
          <a:off x="304800" y="2609850"/>
          <a:ext cx="6477000" cy="190500"/>
        </a:xfrm>
        <a:prstGeom prst="rect"/>
        <a:noFill/>
      </xdr:spPr>
      <xdr:txBody>
        <a:bodyPr fromWordArt="1" wrap="none" lIns="91440" tIns="45720" rIns="91440" bIns="45720">
          <a:prstTxWarp prst="textPlain"/>
        </a:bodyPr>
        <a:p>
          <a:pPr algn="ctr"/>
          <a:r>
            <a:rPr sz="1400" b="1" kern="10" spc="0">
              <a:ln w="9525" cmpd="sng">
                <a:solidFill>
                  <a:srgbClr val="000000"/>
                </a:solidFill>
                <a:headEnd type="none"/>
                <a:tailEnd type="none"/>
              </a:ln>
              <a:solidFill>
                <a:srgbClr val="008080"/>
              </a:solidFill>
              <a:latin typeface="Century Schoolbook"/>
              <a:cs typeface="Century Schoolbook"/>
            </a:rPr>
            <a:t>Additional Notes Regarding Off-Scale Base Salaries:</a:t>
          </a:r>
        </a:p>
      </xdr:txBody>
    </xdr:sp>
    <xdr:clientData/>
  </xdr:twoCellAnchor>
  <xdr:twoCellAnchor>
    <xdr:from>
      <xdr:col>1</xdr:col>
      <xdr:colOff>19050</xdr:colOff>
      <xdr:row>4</xdr:row>
      <xdr:rowOff>123825</xdr:rowOff>
    </xdr:from>
    <xdr:to>
      <xdr:col>3</xdr:col>
      <xdr:colOff>2057400</xdr:colOff>
      <xdr:row>4</xdr:row>
      <xdr:rowOff>342900</xdr:rowOff>
    </xdr:to>
    <xdr:sp>
      <xdr:nvSpPr>
        <xdr:cNvPr id="3" name="WordArt 4"/>
        <xdr:cNvSpPr>
          <a:spLocks/>
        </xdr:cNvSpPr>
      </xdr:nvSpPr>
      <xdr:spPr>
        <a:xfrm>
          <a:off x="400050" y="2924175"/>
          <a:ext cx="5000625" cy="219075"/>
        </a:xfrm>
        <a:prstGeom prst="rect"/>
        <a:noFill/>
      </xdr:spPr>
      <xdr:txBody>
        <a:bodyPr fromWordArt="1" wrap="none" lIns="91440" tIns="45720" rIns="91440" bIns="45720">
          <a:prstTxWarp prst="textPlain"/>
        </a:bodyPr>
        <a:p>
          <a:pPr algn="ctr"/>
          <a:r>
            <a:rPr sz="900" b="1" kern="10" spc="0">
              <a:ln w="9525" cmpd="sng">
                <a:solidFill>
                  <a:srgbClr val="000000"/>
                </a:solidFill>
                <a:headEnd type="none"/>
                <a:tailEnd type="none"/>
              </a:ln>
              <a:solidFill>
                <a:srgbClr val="008080"/>
              </a:solidFill>
              <a:latin typeface="Century Schoolbook"/>
              <a:cs typeface="Century Schoolbook"/>
            </a:rPr>
            <a:t>(See APM Sections 620 and UCD-620 for complete policy on Off-Scale Salaries)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152400</xdr:rowOff>
    </xdr:from>
    <xdr:to>
      <xdr:col>4</xdr:col>
      <xdr:colOff>76200</xdr:colOff>
      <xdr:row>6</xdr:row>
      <xdr:rowOff>285750</xdr:rowOff>
    </xdr:to>
    <xdr:sp>
      <xdr:nvSpPr>
        <xdr:cNvPr id="1" name="WordArt 1"/>
        <xdr:cNvSpPr>
          <a:spLocks/>
        </xdr:cNvSpPr>
      </xdr:nvSpPr>
      <xdr:spPr>
        <a:xfrm>
          <a:off x="419100" y="2152650"/>
          <a:ext cx="5581650" cy="381000"/>
        </a:xfrm>
        <a:prstGeom prst="rect"/>
        <a:noFill/>
      </xdr:spPr>
      <xdr:txBody>
        <a:bodyPr fromWordArt="1" wrap="none" lIns="91440" tIns="45720" rIns="91440" bIns="45720">
          <a:prstTxWarp prst="textPlain"/>
        </a:bodyPr>
        <a:p>
          <a:pPr algn="ctr"/>
          <a:r>
            <a:rPr sz="1000" b="1" kern="10" spc="0">
              <a:ln w="9525" cmpd="sng">
                <a:solidFill>
                  <a:srgbClr val="000000"/>
                </a:solidFill>
                <a:headEnd type="none"/>
                <a:tailEnd type="none"/>
              </a:ln>
              <a:solidFill>
                <a:srgbClr val="008080"/>
              </a:solidFill>
              <a:latin typeface="Century Schoolbook"/>
              <a:cs typeface="Century Schoolbook"/>
            </a:rPr>
            <a:t>Additional Notes Regarding Above Scale Base Salaries:</a:t>
          </a:r>
        </a:p>
      </xdr:txBody>
    </xdr:sp>
    <xdr:clientData/>
  </xdr:twoCellAnchor>
  <xdr:twoCellAnchor>
    <xdr:from>
      <xdr:col>1</xdr:col>
      <xdr:colOff>85725</xdr:colOff>
      <xdr:row>0</xdr:row>
      <xdr:rowOff>342900</xdr:rowOff>
    </xdr:from>
    <xdr:to>
      <xdr:col>5</xdr:col>
      <xdr:colOff>2190750</xdr:colOff>
      <xdr:row>0</xdr:row>
      <xdr:rowOff>590550</xdr:rowOff>
    </xdr:to>
    <xdr:sp>
      <xdr:nvSpPr>
        <xdr:cNvPr id="2" name="WordArt 2"/>
        <xdr:cNvSpPr>
          <a:spLocks/>
        </xdr:cNvSpPr>
      </xdr:nvSpPr>
      <xdr:spPr>
        <a:xfrm>
          <a:off x="466725" y="342900"/>
          <a:ext cx="8029575" cy="247650"/>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8080"/>
              </a:solidFill>
              <a:latin typeface="Century Schoolbook"/>
              <a:cs typeface="Century Schoolbook"/>
            </a:rPr>
            <a:t>ABOVE  SCALE SALARY CALCULATIONS FOR COMPENSATION PLAN FACULTY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cision\Carrie\Ad%20Hoc%20Requests\pps%20gcr%20project\NIH%20cap%20g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REF"/>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H104:N140" sheet="AboveScaleCalc"/>
  </cacheSource>
  <cacheFields count="7">
    <cacheField name="LINE">
      <sharedItems containsSemiMixedTypes="0" containsString="0" containsMixedTypes="0" containsNumber="1" containsInteger="1"/>
    </cacheField>
    <cacheField name="ACCT">
      <sharedItems containsMixedTypes="1" containsNumber="1" containsInteger="1" count="25">
        <s v=""/>
        <n v="0"/>
        <n v="55556103"/>
        <n v="5"/>
        <n v="555555"/>
        <n v="4444444"/>
        <n v="99999999"/>
        <n v="2"/>
        <n v="4942103"/>
        <n v="6"/>
        <n v="4942900"/>
        <n v="6666666"/>
        <n v="5555666"/>
        <n v="2222222"/>
        <n v="1"/>
        <n v="3"/>
        <n v="7777777"/>
        <n v="5555103"/>
        <n v="4444103"/>
        <n v="5555900"/>
        <n v="111111"/>
        <n v="3333333"/>
        <n v="4444900"/>
        <n v="8888888"/>
        <n v="4"/>
      </sharedItems>
    </cacheField>
    <cacheField name="dos">
      <sharedItems containsMixedTypes="0" count="11">
        <s v=""/>
        <s v="HBD"/>
        <s v="HBE"/>
        <s v="HBF"/>
        <s v="REG"/>
        <s v="HBG"/>
        <e v="#DIV/0!"/>
        <s v="HBH"/>
        <s v="HBY"/>
        <s v="HBI"/>
        <s v="HBT"/>
      </sharedItems>
    </cacheField>
    <cacheField name="AMOUNT">
      <sharedItems containsMixedTypes="0"/>
    </cacheField>
    <cacheField name="total of dos code">
      <sharedItems containsMixedTypes="0"/>
    </cacheField>
    <cacheField name="% of dos code">
      <sharedItems containsMixedTypes="0"/>
    </cacheField>
    <cacheField name="original %">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H104:N140" sheet="AboveScaleCalc"/>
  </cacheSource>
  <cacheFields count="7">
    <cacheField name="LINE">
      <sharedItems containsSemiMixedTypes="0" containsString="0" containsMixedTypes="0" containsNumber="1" containsInteger="1"/>
    </cacheField>
    <cacheField name="ACCT">
      <sharedItems containsMixedTypes="1" containsNumber="1" containsInteger="1" count="25">
        <s v=""/>
        <n v="0"/>
        <n v="55556103"/>
        <n v="5"/>
        <n v="555555"/>
        <n v="4444444"/>
        <n v="99999999"/>
        <n v="2"/>
        <n v="4942103"/>
        <n v="6"/>
        <n v="4942900"/>
        <n v="6666666"/>
        <n v="5555666"/>
        <n v="2222222"/>
        <n v="1"/>
        <n v="3"/>
        <n v="7777777"/>
        <n v="5555103"/>
        <n v="4444103"/>
        <n v="5555900"/>
        <n v="111111"/>
        <n v="3333333"/>
        <n v="4444900"/>
        <n v="8888888"/>
        <n v="4"/>
      </sharedItems>
    </cacheField>
    <cacheField name="dos">
      <sharedItems containsMixedTypes="0" count="11">
        <s v=""/>
        <s v="HBD"/>
        <s v="HBE"/>
        <s v="HBF"/>
        <s v="REG"/>
        <s v="HBG"/>
        <e v="#DIV/0!"/>
        <s v="HBH"/>
        <s v="HBY"/>
        <s v="HBI"/>
        <s v="HBT"/>
      </sharedItems>
    </cacheField>
    <cacheField name="AMOUNT">
      <sharedItems containsMixedTypes="0"/>
    </cacheField>
    <cacheField name="total of dos code">
      <sharedItems containsMixedTypes="0"/>
    </cacheField>
    <cacheField name="% of dos code">
      <sharedItems containsMixedTypes="0"/>
    </cacheField>
    <cacheField name="original %">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H105:N150" sheet="OffScaleCalc"/>
  </cacheSource>
  <cacheFields count="7">
    <cacheField name="LINE">
      <sharedItems containsSemiMixedTypes="0" containsString="0" containsMixedTypes="0" containsNumber="1" containsInteger="1"/>
    </cacheField>
    <cacheField name="ACCT">
      <sharedItems containsMixedTypes="1" containsNumber="1" containsInteger="1" count="21">
        <s v=""/>
        <n v="0"/>
        <n v="55556103"/>
        <n v="5"/>
        <n v="4444444"/>
        <n v="2"/>
        <n v="5555555"/>
        <n v="6666666"/>
        <n v="2222222"/>
        <n v="1"/>
        <n v="3"/>
        <n v="7777777"/>
        <n v="5555103"/>
        <n v="4444103"/>
        <n v="5555900"/>
        <n v="3333333"/>
        <n v="4444900"/>
        <n v="1111111"/>
        <n v="8888888"/>
        <n v="4"/>
        <n v="9999999"/>
      </sharedItems>
    </cacheField>
    <cacheField name="dos">
      <sharedItems containsMixedTypes="0" count="12">
        <s v=""/>
        <s v="HBD"/>
        <s v="HBE"/>
        <s v="HBF"/>
        <s v="REG"/>
        <s v="HBG"/>
        <e v="#DIV/0!"/>
        <s v="HBH"/>
        <s v="HBY"/>
        <s v="OSC"/>
        <s v="HBI"/>
        <s v="HBT"/>
      </sharedItems>
    </cacheField>
    <cacheField name="AMOUNT">
      <sharedItems containsMixedTypes="0"/>
    </cacheField>
    <cacheField name="total of dos code">
      <sharedItems containsMixedTypes="0"/>
    </cacheField>
    <cacheField name="% of dos code">
      <sharedItems containsMixedTypes="0"/>
    </cacheField>
    <cacheField name="original %">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H105:N150" sheet="OffScaleCalc"/>
  </cacheSource>
  <cacheFields count="7">
    <cacheField name="LINE">
      <sharedItems containsSemiMixedTypes="0" containsString="0" containsMixedTypes="0" containsNumber="1" containsInteger="1"/>
    </cacheField>
    <cacheField name="ACCT">
      <sharedItems containsMixedTypes="1" containsNumber="1" containsInteger="1" count="21">
        <s v=""/>
        <n v="0"/>
        <n v="55556103"/>
        <n v="5"/>
        <n v="4444444"/>
        <n v="2"/>
        <n v="5555555"/>
        <n v="6666666"/>
        <n v="2222222"/>
        <n v="1"/>
        <n v="3"/>
        <n v="7777777"/>
        <n v="5555103"/>
        <n v="4444103"/>
        <n v="5555900"/>
        <n v="3333333"/>
        <n v="4444900"/>
        <n v="1111111"/>
        <n v="8888888"/>
        <n v="4"/>
        <n v="9999999"/>
      </sharedItems>
    </cacheField>
    <cacheField name="dos">
      <sharedItems containsMixedTypes="0" count="12">
        <s v=""/>
        <s v="HBD"/>
        <s v="HBE"/>
        <s v="HBF"/>
        <s v="REG"/>
        <s v="HBG"/>
        <e v="#DIV/0!"/>
        <s v="HBH"/>
        <s v="HBY"/>
        <s v="OSC"/>
        <s v="HBI"/>
        <s v="HBT"/>
      </sharedItems>
    </cacheField>
    <cacheField name="AMOUNT">
      <sharedItems containsMixedTypes="0"/>
    </cacheField>
    <cacheField name="total of dos code">
      <sharedItems containsMixedTypes="0"/>
    </cacheField>
    <cacheField name="% of dos code">
      <sharedItems containsMixedTypes="0"/>
    </cacheField>
    <cacheField name="original %">
      <sharedItems containsMixedTypes="0"/>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H107:N143" sheet="OnScaleCalc"/>
  </cacheSource>
  <cacheFields count="7">
    <cacheField name="LINE">
      <sharedItems containsSemiMixedTypes="0" containsString="0" containsMixedTypes="0" containsNumber="1" containsInteger="1"/>
    </cacheField>
    <cacheField name="ACCT">
      <sharedItems containsMixedTypes="1" containsNumber="1" containsInteger="1" count="49">
        <s v=""/>
        <n v="0"/>
        <n v="55556103"/>
        <n v="5555333"/>
        <n v="5"/>
        <n v="4959103"/>
        <n v="5556556"/>
        <n v="4936103"/>
        <n v="4961103"/>
        <n v="4915103"/>
        <n v="5555444"/>
        <n v="4959900"/>
        <n v="5556789"/>
        <n v="4444444"/>
        <n v="4445012"/>
        <n v="4936900"/>
        <n v="2"/>
        <n v="4915900"/>
        <n v="5555555"/>
        <n v="4476576"/>
        <n v="19900"/>
        <n v="4444011"/>
        <n v="4476170"/>
        <n v="6666666"/>
        <n v="4936132"/>
        <n v="5555666"/>
        <n v="55551103"/>
        <n v="1"/>
        <n v="4476194"/>
        <n v="3"/>
        <n v="7777777"/>
        <n v="5555777"/>
        <n v="5555103"/>
        <n v="60103"/>
        <n v="4444103"/>
        <n v="4966103"/>
        <n v="5555888"/>
        <n v="5555813"/>
        <n v="5555900"/>
        <n v="3333333"/>
        <n v="4444900"/>
        <n v="4876103"/>
        <n v="4966900"/>
        <n v="5555999"/>
        <n v="8888888"/>
        <n v="4"/>
        <n v="9999999"/>
        <n v="4476172"/>
        <n v="4876900"/>
      </sharedItems>
    </cacheField>
    <cacheField name="dos">
      <sharedItems containsMixedTypes="0" count="10">
        <s v=""/>
        <s v="HBT"/>
        <s v="HBY"/>
        <s v="REG"/>
        <s v="HBD"/>
        <s v="HBE"/>
        <s v="HBF"/>
        <s v="HBG"/>
        <s v="HBH"/>
        <s v="HBI"/>
      </sharedItems>
    </cacheField>
    <cacheField name="AMOUNT">
      <sharedItems containsMixedTypes="0"/>
    </cacheField>
    <cacheField name="total of dos code">
      <sharedItems containsMixedTypes="0"/>
    </cacheField>
    <cacheField name="% of dos code">
      <sharedItems containsMixedTypes="0"/>
    </cacheField>
    <cacheField name="original %">
      <sharedItems containsMixedTypes="0"/>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worksheetSource ref="H107:N143" sheet="OnScaleCalc"/>
  </cacheSource>
  <cacheFields count="7">
    <cacheField name="LINE">
      <sharedItems containsSemiMixedTypes="0" containsString="0" containsMixedTypes="0" containsNumber="1" containsInteger="1"/>
    </cacheField>
    <cacheField name="ACCT">
      <sharedItems containsMixedTypes="1" containsNumber="1" containsInteger="1" count="49">
        <s v=""/>
        <n v="0"/>
        <n v="55556103"/>
        <n v="5555333"/>
        <n v="5"/>
        <n v="4959103"/>
        <n v="5556556"/>
        <n v="4936103"/>
        <n v="4961103"/>
        <n v="4915103"/>
        <n v="5555444"/>
        <n v="4959900"/>
        <n v="5556789"/>
        <n v="4444444"/>
        <n v="4445012"/>
        <n v="4936900"/>
        <n v="2"/>
        <n v="4915900"/>
        <n v="5555555"/>
        <n v="4476576"/>
        <n v="19900"/>
        <n v="4444011"/>
        <n v="4476170"/>
        <n v="6666666"/>
        <n v="4936132"/>
        <n v="5555666"/>
        <n v="55551103"/>
        <n v="1"/>
        <n v="4476194"/>
        <n v="3"/>
        <n v="7777777"/>
        <n v="5555777"/>
        <n v="5555103"/>
        <n v="60103"/>
        <n v="4444103"/>
        <n v="4966103"/>
        <n v="5555888"/>
        <n v="5555813"/>
        <n v="5555900"/>
        <n v="3333333"/>
        <n v="4444900"/>
        <n v="4876103"/>
        <n v="4966900"/>
        <n v="5555999"/>
        <n v="8888888"/>
        <n v="4"/>
        <n v="9999999"/>
        <n v="4476172"/>
        <n v="4876900"/>
      </sharedItems>
    </cacheField>
    <cacheField name="dos">
      <sharedItems containsMixedTypes="0" count="10">
        <s v=""/>
        <s v="HBT"/>
        <s v="HBY"/>
        <s v="REG"/>
        <s v="HBD"/>
        <s v="HBE"/>
        <s v="HBF"/>
        <s v="HBG"/>
        <s v="HBH"/>
        <s v="HBI"/>
      </sharedItems>
    </cacheField>
    <cacheField name="AMOUNT">
      <sharedItems containsMixedTypes="0"/>
    </cacheField>
    <cacheField name="total of dos code">
      <sharedItems containsMixedTypes="0"/>
    </cacheField>
    <cacheField name="% of dos code">
      <sharedItems containsMixedTypes="0"/>
    </cacheField>
    <cacheField name="original %">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regpivot" cacheId="3" applyNumberFormats="0" applyBorderFormats="0" applyFontFormats="0" applyPatternFormats="0" applyAlignmentFormats="0" applyWidthHeightFormats="0" dataCaption="Data" showMissing="0" preserveFormatting="1" useAutoFormatting="1" rowGrandTotals="0" colGrandTotals="0" itemPrintTitles="1" compactData="0" updatedVersion="2" indent="0" showMemberPropertyTips="1">
  <location ref="D102:H104" firstHeaderRow="1" firstDataRow="2" firstDataCol="2"/>
  <pivotFields count="7">
    <pivotField compact="0" outline="0" subtotalTop="0" showAll="0"/>
    <pivotField axis="axisRow" compact="0" outline="0" subtotalTop="0" showAll="0" defaultSubtotal="0">
      <items count="49">
        <item m="1" x="32"/>
        <item m="1" x="38"/>
        <item x="0"/>
        <item m="1" x="1"/>
        <item m="1" x="2"/>
        <item m="1" x="40"/>
        <item m="1" x="34"/>
        <item m="1" x="21"/>
        <item m="1" x="14"/>
        <item m="1" x="26"/>
        <item m="1" x="18"/>
        <item m="1" x="42"/>
        <item m="1" x="35"/>
        <item m="1" x="48"/>
        <item m="1" x="41"/>
        <item m="1" x="22"/>
        <item m="1" x="47"/>
        <item m="1" x="28"/>
        <item m="1" x="19"/>
        <item m="1" x="6"/>
        <item m="1" x="12"/>
        <item m="1" x="37"/>
        <item m="1" x="8"/>
        <item m="1" x="33"/>
        <item m="1" x="15"/>
        <item m="1" x="7"/>
        <item m="1" x="24"/>
        <item m="1" x="20"/>
        <item m="1" x="27"/>
        <item m="1" x="16"/>
        <item m="1" x="29"/>
        <item m="1" x="45"/>
        <item m="1" x="4"/>
        <item m="1" x="3"/>
        <item m="1" x="10"/>
        <item m="1" x="25"/>
        <item m="1" x="31"/>
        <item m="1" x="36"/>
        <item m="1" x="43"/>
        <item m="1" x="39"/>
        <item m="1" x="13"/>
        <item m="1" x="23"/>
        <item m="1" x="30"/>
        <item m="1" x="44"/>
        <item m="1" x="46"/>
        <item m="1" x="11"/>
        <item m="1" x="5"/>
        <item m="1" x="17"/>
        <item m="1" x="9"/>
      </items>
    </pivotField>
    <pivotField axis="axisRow" compact="0" outline="0" subtotalTop="0" showAll="0" defaultSubtotal="0">
      <items count="10">
        <item h="1" m="1" x="6"/>
        <item h="1" m="1" x="1"/>
        <item h="1" m="1" x="2"/>
        <item m="1" x="3"/>
        <item h="1" x="0"/>
        <item h="1" m="1" x="5"/>
        <item h="1" m="1" x="4"/>
        <item h="1" m="1" x="8"/>
        <item h="1" m="1" x="9"/>
        <item h="1" m="1" x="7"/>
      </items>
    </pivotField>
    <pivotField dataField="1" compact="0" outline="0" subtotalTop="0" showAll="0"/>
    <pivotField compact="0" outline="0" subtotalTop="0" showAll="0"/>
    <pivotField dataField="1" compact="0" outline="0" subtotalTop="0" showAll="0"/>
    <pivotField dataField="1" compact="0" outline="0" subtotalTop="0" showAll="0"/>
  </pivotFields>
  <rowFields count="2">
    <field x="2"/>
    <field x="1"/>
  </rowFields>
  <rowItems count="0"/>
  <colFields count="1">
    <field x="-2"/>
  </colFields>
  <dataFields count="3">
    <dataField name="Sum of % of dos code" fld="5" baseField="0" baseItem="0"/>
    <dataField name="Sum of AMOUNT" fld="3" baseField="0" baseItem="0"/>
    <dataField name="Sum of original %" fld="6" baseField="0" baseItem="0"/>
  </dataFields>
  <formats count="8">
    <format dxfId="3">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outline="0" fieldPosition="0">
        <references count="1">
          <reference field="4294967294" count="1">
            <x v="2"/>
          </reference>
        </references>
      </pivotArea>
    </format>
    <format dxfId="5">
      <pivotArea outline="0" fieldPosition="0">
        <references count="1">
          <reference field="4294967294" count="1">
            <x v="1"/>
          </reference>
        </references>
      </pivotArea>
    </format>
    <format dxfId="5">
      <pivotArea outline="0" fieldPosition="0" dataOnly="0" labelOnly="1" type="topRight"/>
    </format>
    <format dxfId="5">
      <pivotArea outline="0" fieldPosition="0" dataOnly="0" labelOnly="1">
        <references count="1">
          <reference field="4294967294" count="1">
            <x v="1"/>
          </reference>
        </references>
      </pivotArea>
    </format>
    <format dxfId="5">
      <pivotArea outline="0" fieldPosition="0">
        <references count="1">
          <reference field="4294967294" count="1">
            <x v="2"/>
          </reference>
        </references>
      </pivotArea>
    </format>
    <format dxfId="5">
      <pivotArea outline="0" fieldPosition="0" dataOnly="0" labelOnly="1">
        <references count="1">
          <reference field="4294967294"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hbpivot" cacheId="2" applyNumberFormats="0" applyBorderFormats="0" applyFontFormats="0" applyPatternFormats="0" applyAlignmentFormats="0" applyWidthHeightFormats="0" dataCaption="Data" showMissing="0" preserveFormatting="1" useAutoFormatting="1" rowGrandTotals="0" colGrandTotals="0" itemPrintTitles="1" compactData="0" updatedVersion="2" indent="0" showMemberPropertyTips="1">
  <location ref="D64:H66" firstHeaderRow="1" firstDataRow="2" firstDataCol="2"/>
  <pivotFields count="7">
    <pivotField compact="0" outline="0" subtotalTop="0" showAll="0"/>
    <pivotField axis="axisRow" compact="0" outline="0" subtotalTop="0" showAll="0" defaultSubtotal="0">
      <items count="49">
        <item m="1" x="32"/>
        <item m="1" x="38"/>
        <item x="0"/>
        <item m="1" x="1"/>
        <item m="1" x="2"/>
        <item m="1" x="40"/>
        <item m="1" x="34"/>
        <item m="1" x="21"/>
        <item m="1" x="14"/>
        <item m="1" x="26"/>
        <item m="1" x="18"/>
        <item m="1" x="42"/>
        <item m="1" x="35"/>
        <item m="1" x="48"/>
        <item m="1" x="41"/>
        <item m="1" x="22"/>
        <item m="1" x="47"/>
        <item m="1" x="28"/>
        <item m="1" x="19"/>
        <item m="1" x="6"/>
        <item m="1" x="12"/>
        <item m="1" x="37"/>
        <item m="1" x="8"/>
        <item m="1" x="33"/>
        <item m="1" x="15"/>
        <item m="1" x="7"/>
        <item m="1" x="24"/>
        <item m="1" x="20"/>
        <item m="1" x="27"/>
        <item m="1" x="16"/>
        <item m="1" x="29"/>
        <item m="1" x="45"/>
        <item m="1" x="4"/>
        <item m="1" x="3"/>
        <item m="1" x="10"/>
        <item m="1" x="25"/>
        <item m="1" x="31"/>
        <item m="1" x="36"/>
        <item m="1" x="43"/>
        <item m="1" x="39"/>
        <item m="1" x="13"/>
        <item m="1" x="23"/>
        <item m="1" x="30"/>
        <item m="1" x="44"/>
        <item m="1" x="46"/>
        <item m="1" x="11"/>
        <item m="1" x="5"/>
        <item m="1" x="17"/>
        <item m="1" x="9"/>
      </items>
    </pivotField>
    <pivotField axis="axisRow" compact="0" outline="0" subtotalTop="0" showAll="0" defaultSubtotal="0">
      <items count="10">
        <item m="1" x="6"/>
        <item m="1" x="1"/>
        <item m="1" x="2"/>
        <item h="1" m="1" x="3"/>
        <item h="1" x="0"/>
        <item m="1" x="5"/>
        <item m="1" x="4"/>
        <item m="1" x="8"/>
        <item m="1" x="9"/>
        <item m="1" x="7"/>
      </items>
    </pivotField>
    <pivotField dataField="1" compact="0" outline="0" subtotalTop="0" showAll="0"/>
    <pivotField compact="0" outline="0" subtotalTop="0" showAll="0"/>
    <pivotField dataField="1" compact="0" outline="0" subtotalTop="0" showAll="0"/>
    <pivotField dataField="1" compact="0" outline="0" subtotalTop="0" showAll="0"/>
  </pivotFields>
  <rowFields count="2">
    <field x="2"/>
    <field x="1"/>
  </rowFields>
  <rowItems count="0"/>
  <colFields count="1">
    <field x="-2"/>
  </colFields>
  <dataFields count="3">
    <dataField name="Sum of % of dos code" fld="5" baseField="0" baseItem="0"/>
    <dataField name="Sum of AMOUNT" fld="3" baseField="0" baseItem="0"/>
    <dataField name="Sum of original %" fld="6" baseField="0" baseItem="0"/>
  </dataFields>
  <formats count="8">
    <format dxfId="3">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outline="0" fieldPosition="0">
        <references count="1">
          <reference field="4294967294" count="1">
            <x v="2"/>
          </reference>
        </references>
      </pivotArea>
    </format>
    <format dxfId="5">
      <pivotArea outline="0" fieldPosition="0">
        <references count="1">
          <reference field="4294967294" count="1">
            <x v="1"/>
          </reference>
        </references>
      </pivotArea>
    </format>
    <format dxfId="5">
      <pivotArea outline="0" fieldPosition="0" dataOnly="0" labelOnly="1" type="topRight"/>
    </format>
    <format dxfId="5">
      <pivotArea outline="0" fieldPosition="0" dataOnly="0" labelOnly="1">
        <references count="1">
          <reference field="4294967294" count="1">
            <x v="1"/>
          </reference>
        </references>
      </pivotArea>
    </format>
    <format dxfId="5">
      <pivotArea outline="0" fieldPosition="0">
        <references count="1">
          <reference field="4294967294" count="1">
            <x v="2"/>
          </reference>
        </references>
      </pivotArea>
    </format>
    <format dxfId="5">
      <pivotArea outline="0" fieldPosition="0" dataOnly="0" labelOnly="1">
        <references count="1">
          <reference field="4294967294" count="1">
            <x v="2"/>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regpivot_off" cacheId="7" applyNumberFormats="0" applyBorderFormats="0" applyFontFormats="0" applyPatternFormats="0" applyAlignmentFormats="0" applyWidthHeightFormats="0" dataCaption="Data" showMissing="0" preserveFormatting="1" useAutoFormatting="1" rowGrandTotals="0" colGrandTotals="0" itemPrintTitles="1" compactData="0" updatedVersion="2" indent="0" showMemberPropertyTips="1">
  <location ref="D127:H129" firstHeaderRow="1" firstDataRow="2" firstDataCol="2"/>
  <pivotFields count="7">
    <pivotField compact="0" outline="0" subtotalTop="0" showAll="0"/>
    <pivotField axis="axisRow" compact="0" outline="0" subtotalTop="0" showAll="0" defaultSubtotal="0">
      <items count="21">
        <item m="1" x="12"/>
        <item m="1" x="14"/>
        <item x="0"/>
        <item m="1" x="1"/>
        <item m="1" x="2"/>
        <item m="1" x="16"/>
        <item m="1" x="13"/>
        <item m="1" x="17"/>
        <item m="1" x="8"/>
        <item m="1" x="15"/>
        <item m="1" x="4"/>
        <item m="1" x="6"/>
        <item m="1" x="7"/>
        <item m="1" x="11"/>
        <item m="1" x="9"/>
        <item m="1" x="5"/>
        <item m="1" x="10"/>
        <item m="1" x="19"/>
        <item m="1" x="3"/>
        <item m="1" x="18"/>
        <item m="1" x="20"/>
      </items>
    </pivotField>
    <pivotField axis="axisRow" compact="0" outline="0" subtotalTop="0" showAll="0" defaultSubtotal="0">
      <items count="12">
        <item h="1" m="1" x="3"/>
        <item h="1" m="1" x="11"/>
        <item h="1" m="1" x="8"/>
        <item m="1" x="4"/>
        <item h="1" x="0"/>
        <item h="1" m="1" x="2"/>
        <item h="1" m="1" x="1"/>
        <item h="1" m="1" x="9"/>
        <item h="1" m="1" x="7"/>
        <item h="1" m="1" x="5"/>
        <item h="1" m="1" x="10"/>
        <item m="1" x="6"/>
      </items>
    </pivotField>
    <pivotField dataField="1" compact="0" outline="0" subtotalTop="0" showAll="0"/>
    <pivotField compact="0" outline="0" subtotalTop="0" showAll="0"/>
    <pivotField dataField="1" compact="0" outline="0" subtotalTop="0" showAll="0"/>
    <pivotField dataField="1" compact="0" outline="0" subtotalTop="0" showAll="0"/>
  </pivotFields>
  <rowFields count="2">
    <field x="2"/>
    <field x="1"/>
  </rowFields>
  <rowItems count="0"/>
  <colFields count="1">
    <field x="-2"/>
  </colFields>
  <dataFields count="3">
    <dataField name="Sum of % of dos code" fld="5" baseField="0" baseItem="0"/>
    <dataField name="Sum of AMOUNT" fld="3" baseField="0" baseItem="0"/>
    <dataField name="Sum of original %" fld="6" baseField="0" baseItem="0"/>
  </dataFields>
  <formats count="3">
    <format dxfId="3">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outline="0" fieldPosition="0">
        <references count="1">
          <reference field="4294967294" count="1">
            <x v="2"/>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hbpivot_off" cacheId="6" applyNumberFormats="0" applyBorderFormats="0" applyFontFormats="0" applyPatternFormats="0" applyAlignmentFormats="0" applyWidthHeightFormats="0" dataCaption="Data" showMissing="0" preserveFormatting="1" useAutoFormatting="1" rowGrandTotals="0" colGrandTotals="0" itemPrintTitles="1" compactData="0" updatedVersion="2" indent="0" showMemberPropertyTips="1">
  <location ref="D75:H77" firstHeaderRow="1" firstDataRow="2" firstDataCol="2"/>
  <pivotFields count="7">
    <pivotField compact="0" outline="0" subtotalTop="0" showAll="0"/>
    <pivotField axis="axisRow" compact="0" outline="0" subtotalTop="0" showAll="0" defaultSubtotal="0">
      <items count="21">
        <item m="1" x="12"/>
        <item m="1" x="14"/>
        <item x="0"/>
        <item m="1" x="1"/>
        <item m="1" x="2"/>
        <item m="1" x="16"/>
        <item m="1" x="13"/>
        <item m="1" x="17"/>
        <item m="1" x="8"/>
        <item m="1" x="15"/>
        <item m="1" x="4"/>
        <item m="1" x="6"/>
        <item m="1" x="7"/>
        <item m="1" x="11"/>
        <item m="1" x="9"/>
        <item m="1" x="5"/>
        <item m="1" x="10"/>
        <item m="1" x="19"/>
        <item m="1" x="3"/>
        <item m="1" x="18"/>
        <item m="1" x="20"/>
      </items>
    </pivotField>
    <pivotField axis="axisRow" compact="0" outline="0" subtotalTop="0" showAll="0" defaultSubtotal="0">
      <items count="12">
        <item m="1" x="3"/>
        <item m="1" x="11"/>
        <item m="1" x="8"/>
        <item h="1" m="1" x="4"/>
        <item h="1" x="0"/>
        <item m="1" x="2"/>
        <item m="1" x="1"/>
        <item m="1" x="9"/>
        <item m="1" x="7"/>
        <item m="1" x="5"/>
        <item m="1" x="10"/>
        <item m="1" x="6"/>
      </items>
    </pivotField>
    <pivotField dataField="1" compact="0" outline="0" subtotalTop="0" showAll="0"/>
    <pivotField compact="0" outline="0" subtotalTop="0" showAll="0"/>
    <pivotField dataField="1" compact="0" outline="0" subtotalTop="0" showAll="0"/>
    <pivotField dataField="1" compact="0" outline="0" subtotalTop="0" showAll="0"/>
  </pivotFields>
  <rowFields count="2">
    <field x="2"/>
    <field x="1"/>
  </rowFields>
  <rowItems count="0"/>
  <colFields count="1">
    <field x="-2"/>
  </colFields>
  <dataFields count="3">
    <dataField name="Sum of % of dos code" fld="5" baseField="0" baseItem="0"/>
    <dataField name="Sum of AMOUNT" fld="3" baseField="0" baseItem="0"/>
    <dataField name="Sum of original %" fld="6" baseField="0" baseItem="0"/>
  </dataFields>
  <formats count="3">
    <format dxfId="3">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outline="0" fieldPosition="0">
        <references count="1">
          <reference field="4294967294" count="1">
            <x v="2"/>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regpivot_above" cacheId="5" applyNumberFormats="0" applyBorderFormats="0" applyFontFormats="0" applyPatternFormats="0" applyAlignmentFormats="0" applyWidthHeightFormats="0" dataCaption="Data" showMissing="0" preserveFormatting="1" useAutoFormatting="1" rowGrandTotals="0" colGrandTotals="0" itemPrintTitles="1" compactData="0" updatedVersion="2" indent="0" showMemberPropertyTips="1">
  <location ref="D105:H107" firstHeaderRow="1" firstDataRow="2" firstDataCol="2"/>
  <pivotFields count="7">
    <pivotField compact="0" outline="0" subtotalTop="0" showAll="0"/>
    <pivotField axis="axisRow" compact="0" outline="0" subtotalTop="0" showAll="0" defaultSubtotal="0">
      <items count="25">
        <item m="1" x="17"/>
        <item m="1" x="19"/>
        <item m="1" x="1"/>
        <item m="1" x="2"/>
        <item m="1" x="22"/>
        <item m="1" x="18"/>
        <item m="1" x="12"/>
        <item m="1" x="20"/>
        <item m="1" x="10"/>
        <item m="1" x="8"/>
        <item m="1" x="15"/>
        <item m="1" x="24"/>
        <item m="1" x="3"/>
        <item m="1" x="9"/>
        <item m="1" x="14"/>
        <item m="1" x="7"/>
        <item m="1" x="13"/>
        <item m="1" x="21"/>
        <item m="1" x="5"/>
        <item m="1" x="4"/>
        <item m="1" x="11"/>
        <item m="1" x="16"/>
        <item m="1" x="23"/>
        <item m="1" x="6"/>
        <item x="0"/>
      </items>
    </pivotField>
    <pivotField axis="axisRow" compact="0" outline="0" subtotalTop="0" showAll="0" defaultSubtotal="0">
      <items count="11">
        <item h="1" m="1" x="3"/>
        <item h="1" m="1" x="10"/>
        <item h="1" m="1" x="8"/>
        <item m="1" x="4"/>
        <item h="1" x="0"/>
        <item h="1" m="1" x="2"/>
        <item h="1" m="1" x="1"/>
        <item h="1" m="1" x="7"/>
        <item h="1" m="1" x="9"/>
        <item h="1" m="1" x="5"/>
        <item m="1" x="6"/>
      </items>
    </pivotField>
    <pivotField dataField="1" compact="0" outline="0" subtotalTop="0" showAll="0"/>
    <pivotField compact="0" outline="0" subtotalTop="0" showAll="0"/>
    <pivotField dataField="1" compact="0" outline="0" subtotalTop="0" showAll="0"/>
    <pivotField dataField="1" compact="0" outline="0" subtotalTop="0" showAll="0"/>
  </pivotFields>
  <rowFields count="2">
    <field x="2"/>
    <field x="1"/>
  </rowFields>
  <rowItems count="0"/>
  <colFields count="1">
    <field x="-2"/>
  </colFields>
  <dataFields count="3">
    <dataField name="Sum of % of dos code" fld="5" baseField="0" baseItem="0"/>
    <dataField name="Sum of AMOUNT" fld="3" baseField="0" baseItem="0"/>
    <dataField name="Sum of original %" fld="6" baseField="0" baseItem="0"/>
  </dataFields>
  <formats count="8">
    <format dxfId="3">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outline="0" fieldPosition="0">
        <references count="1">
          <reference field="4294967294" count="1">
            <x v="2"/>
          </reference>
        </references>
      </pivotArea>
    </format>
    <format dxfId="5">
      <pivotArea outline="0" fieldPosition="0">
        <references count="1">
          <reference field="4294967294" count="1">
            <x v="1"/>
          </reference>
        </references>
      </pivotArea>
    </format>
    <format dxfId="5">
      <pivotArea outline="0" fieldPosition="0" dataOnly="0" labelOnly="1" type="topRight"/>
    </format>
    <format dxfId="5">
      <pivotArea outline="0" fieldPosition="0" dataOnly="0" labelOnly="1">
        <references count="1">
          <reference field="4294967294" count="1">
            <x v="1"/>
          </reference>
        </references>
      </pivotArea>
    </format>
    <format dxfId="5">
      <pivotArea outline="0" fieldPosition="0">
        <references count="1">
          <reference field="4294967294" count="1">
            <x v="2"/>
          </reference>
        </references>
      </pivotArea>
    </format>
    <format dxfId="5">
      <pivotArea outline="0" fieldPosition="0" dataOnly="0" labelOnly="1">
        <references count="1">
          <reference field="4294967294" count="1">
            <x v="2"/>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hbpivot_above" cacheId="4" applyNumberFormats="0" applyBorderFormats="0" applyFontFormats="0" applyPatternFormats="0" applyAlignmentFormats="0" applyWidthHeightFormats="0" dataCaption="Data" showMissing="0" preserveFormatting="1" useAutoFormatting="1" rowGrandTotals="0" colGrandTotals="0" itemPrintTitles="1" compactData="0" updatedVersion="2" indent="0" showMemberPropertyTips="1">
  <location ref="D66:H68" firstHeaderRow="1" firstDataRow="2" firstDataCol="2"/>
  <pivotFields count="7">
    <pivotField compact="0" outline="0" subtotalTop="0" showAll="0"/>
    <pivotField axis="axisRow" compact="0" outline="0" subtotalTop="0" showAll="0" defaultSubtotal="0">
      <items count="25">
        <item m="1" x="17"/>
        <item m="1" x="19"/>
        <item m="1" x="1"/>
        <item m="1" x="2"/>
        <item m="1" x="22"/>
        <item m="1" x="18"/>
        <item m="1" x="12"/>
        <item m="1" x="20"/>
        <item m="1" x="10"/>
        <item m="1" x="8"/>
        <item m="1" x="15"/>
        <item m="1" x="24"/>
        <item m="1" x="3"/>
        <item m="1" x="9"/>
        <item m="1" x="14"/>
        <item m="1" x="7"/>
        <item m="1" x="13"/>
        <item m="1" x="21"/>
        <item m="1" x="5"/>
        <item m="1" x="4"/>
        <item m="1" x="11"/>
        <item m="1" x="16"/>
        <item m="1" x="23"/>
        <item m="1" x="6"/>
        <item x="0"/>
      </items>
    </pivotField>
    <pivotField axis="axisRow" compact="0" outline="0" subtotalTop="0" showAll="0" defaultSubtotal="0">
      <items count="11">
        <item m="1" x="3"/>
        <item m="1" x="10"/>
        <item m="1" x="8"/>
        <item h="1" m="1" x="4"/>
        <item h="1" x="0"/>
        <item m="1" x="2"/>
        <item m="1" x="1"/>
        <item m="1" x="7"/>
        <item m="1" x="9"/>
        <item m="1" x="5"/>
        <item m="1" x="6"/>
      </items>
    </pivotField>
    <pivotField dataField="1" compact="0" outline="0" subtotalTop="0" showAll="0"/>
    <pivotField compact="0" outline="0" subtotalTop="0" showAll="0"/>
    <pivotField dataField="1" compact="0" outline="0" subtotalTop="0" showAll="0"/>
    <pivotField dataField="1" compact="0" outline="0" subtotalTop="0" showAll="0"/>
  </pivotFields>
  <rowFields count="2">
    <field x="2"/>
    <field x="1"/>
  </rowFields>
  <rowItems count="0"/>
  <colFields count="1">
    <field x="-2"/>
  </colFields>
  <dataFields count="3">
    <dataField name="Sum of % of dos code" fld="5" baseField="0" baseItem="0"/>
    <dataField name="Sum of AMOUNT" fld="3" baseField="0" baseItem="0"/>
    <dataField name="Sum of original %" fld="6" baseField="0" baseItem="0"/>
  </dataFields>
  <formats count="8">
    <format dxfId="3">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outline="0" fieldPosition="0">
        <references count="1">
          <reference field="4294967294" count="1">
            <x v="2"/>
          </reference>
        </references>
      </pivotArea>
    </format>
    <format dxfId="5">
      <pivotArea outline="0" fieldPosition="0">
        <references count="1">
          <reference field="4294967294" count="1">
            <x v="1"/>
          </reference>
        </references>
      </pivotArea>
    </format>
    <format dxfId="5">
      <pivotArea outline="0" fieldPosition="0" dataOnly="0" labelOnly="1" type="topRight"/>
    </format>
    <format dxfId="5">
      <pivotArea outline="0" fieldPosition="0" dataOnly="0" labelOnly="1">
        <references count="1">
          <reference field="4294967294" count="1">
            <x v="1"/>
          </reference>
        </references>
      </pivotArea>
    </format>
    <format dxfId="5">
      <pivotArea outline="0" fieldPosition="0">
        <references count="1">
          <reference field="4294967294" count="1">
            <x v="2"/>
          </reference>
        </references>
      </pivotArea>
    </format>
    <format dxfId="5">
      <pivotArea outline="0" fieldPosition="0" dataOnly="0" labelOnly="1">
        <references count="1">
          <reference field="4294967294" count="1">
            <x v="2"/>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5.xml" /><Relationship Id="rId3" Type="http://schemas.openxmlformats.org/officeDocument/2006/relationships/pivotTable" Target="../pivotTables/pivotTable6.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117"/>
  <sheetViews>
    <sheetView showGridLines="0" showZeros="0" zoomScale="75" zoomScaleNormal="75" zoomScalePageLayoutView="0" workbookViewId="0" topLeftCell="D3">
      <selection activeCell="E8" sqref="E8"/>
    </sheetView>
  </sheetViews>
  <sheetFormatPr defaultColWidth="0" defaultRowHeight="12.75" zeroHeight="1"/>
  <cols>
    <col min="1" max="3" width="9.140625" style="0" hidden="1" customWidth="1"/>
    <col min="4" max="4" width="10.7109375" style="0" bestFit="1" customWidth="1"/>
    <col min="5" max="5" width="9.421875" style="0" customWidth="1"/>
    <col min="6" max="6" width="20.57421875" style="0" customWidth="1"/>
    <col min="7" max="7" width="16.140625" style="2" customWidth="1"/>
    <col min="8" max="8" width="16.28125" style="2" customWidth="1"/>
    <col min="9" max="9" width="10.8515625" style="2" bestFit="1" customWidth="1"/>
    <col min="10" max="10" width="13.00390625" style="2" customWidth="1"/>
    <col min="11" max="11" width="15.140625" style="0" bestFit="1" customWidth="1"/>
    <col min="12" max="13" width="10.7109375" style="0" hidden="1" customWidth="1"/>
    <col min="14" max="16384" width="0" style="0" hidden="1" customWidth="1"/>
  </cols>
  <sheetData>
    <row r="1" spans="5:7" ht="15.75">
      <c r="E1" s="115" t="s">
        <v>112</v>
      </c>
      <c r="F1" s="116">
        <f>IF(ISBLANK(Scale),"",eeid_on)</f>
      </c>
      <c r="G1" s="626"/>
    </row>
    <row r="2" spans="5:7" ht="15.75">
      <c r="E2" s="115" t="s">
        <v>126</v>
      </c>
      <c r="F2" s="116">
        <f>IF(ISBLANK(Scale),"",pcn_on)</f>
      </c>
      <c r="G2" s="626"/>
    </row>
    <row r="3" spans="5:7" ht="15.75">
      <c r="E3" s="115" t="s">
        <v>113</v>
      </c>
      <c r="F3" s="116">
        <f>IF(ISBLANK(Scale),"",CONCATENATE(last_on," ,",first_on))</f>
      </c>
      <c r="G3" s="626"/>
    </row>
    <row r="4" spans="5:6" ht="15.75">
      <c r="E4" s="115" t="s">
        <v>186</v>
      </c>
      <c r="F4" s="555">
        <f>time_on</f>
        <v>0</v>
      </c>
    </row>
    <row r="5" ht="12.75"/>
    <row r="6" ht="12.75"/>
    <row r="7" spans="4:13" s="117" customFormat="1" ht="25.5">
      <c r="D7" s="57" t="s">
        <v>107</v>
      </c>
      <c r="E7" s="57" t="s">
        <v>108</v>
      </c>
      <c r="F7" s="57" t="s">
        <v>109</v>
      </c>
      <c r="G7" s="57" t="s">
        <v>156</v>
      </c>
      <c r="H7" s="57" t="s">
        <v>124</v>
      </c>
      <c r="I7" s="57" t="s">
        <v>111</v>
      </c>
      <c r="J7" s="57" t="s">
        <v>178</v>
      </c>
      <c r="K7" s="57" t="s">
        <v>5</v>
      </c>
      <c r="L7" s="57" t="s">
        <v>133</v>
      </c>
      <c r="M7" s="57" t="s">
        <v>134</v>
      </c>
    </row>
    <row r="8" spans="1:13" ht="12.75">
      <c r="A8" s="13">
        <f>IF((ISBLANK(F104)),"",F104)</f>
      </c>
      <c r="B8" t="e">
        <f>VLOOKUP(H8,OnScaleCalc!$D$85:$E$93,2,FALSE)</f>
        <v>#N/A</v>
      </c>
      <c r="C8" t="e">
        <f>IF(OR(B8=3,B8=2),SUMIF($I$64:$L$64,D8,$I$65:$L$65),"")</f>
        <v>#N/A</v>
      </c>
      <c r="D8" s="2">
        <f aca="true" t="shared" si="0" ref="D8:D16">IF(A8="","",IF(ISBLANK(C104),"",C104))</f>
      </c>
      <c r="E8" s="52"/>
      <c r="F8" s="52"/>
      <c r="G8" s="616">
        <f>IF(A8="","",M8*$F$4)</f>
      </c>
      <c r="H8" s="2">
        <f aca="true" t="shared" si="1" ref="H8:H16">IF(A8="","",E104)</f>
      </c>
      <c r="I8" s="627"/>
      <c r="K8" s="12">
        <f aca="true" t="shared" si="2" ref="K8:K16">IF(A8="","",IF(ISERROR(C8*H104),L8,L8+(C8*H104)))</f>
      </c>
      <c r="L8" s="12">
        <f aca="true" t="shared" si="3" ref="L8:L16">IF(A8="","",G104)</f>
      </c>
      <c r="M8" s="11">
        <f aca="true" t="shared" si="4" ref="M8:M16">IF($I$62=2,IF(ISERROR(K8/SUMIF($D$8:$D$16,D8,$K$8:$K$16)),"",K8/SUMIF($D$8:$D$16,D8,$K$8:$K$16)),A8)</f>
      </c>
    </row>
    <row r="9" spans="1:13" ht="12.75">
      <c r="A9" s="13">
        <f aca="true" t="shared" si="5" ref="A9:A16">IF((ISBLANK(F105)),"",F105)</f>
      </c>
      <c r="B9" t="e">
        <f>VLOOKUP(H9,OnScaleCalc!$D$85:$E$93,2,FALSE)</f>
        <v>#N/A</v>
      </c>
      <c r="C9" t="e">
        <f aca="true" t="shared" si="6" ref="C9:C16">IF(OR(B9=3,B9=2),SUMIF($I$64:$L$64,D9,$I$65:$L$65),"")</f>
        <v>#N/A</v>
      </c>
      <c r="D9" s="2">
        <f t="shared" si="0"/>
      </c>
      <c r="E9" s="52"/>
      <c r="F9" s="52"/>
      <c r="G9" s="616">
        <f aca="true" t="shared" si="7" ref="G9:G16">IF(A9="","",M9*$F$4)</f>
      </c>
      <c r="H9" s="2">
        <f t="shared" si="1"/>
      </c>
      <c r="I9" s="627"/>
      <c r="K9" s="12">
        <f t="shared" si="2"/>
      </c>
      <c r="L9" s="12">
        <f t="shared" si="3"/>
      </c>
      <c r="M9" s="11">
        <f t="shared" si="4"/>
      </c>
    </row>
    <row r="10" spans="1:13" ht="12.75">
      <c r="A10" s="13">
        <f t="shared" si="5"/>
      </c>
      <c r="B10" t="e">
        <f>VLOOKUP(H10,OnScaleCalc!$D$85:$E$93,2,FALSE)</f>
        <v>#N/A</v>
      </c>
      <c r="C10" t="e">
        <f t="shared" si="6"/>
        <v>#N/A</v>
      </c>
      <c r="D10" s="2">
        <f t="shared" si="0"/>
      </c>
      <c r="E10" s="52"/>
      <c r="F10" s="52"/>
      <c r="G10" s="616">
        <f t="shared" si="7"/>
      </c>
      <c r="H10" s="2">
        <f t="shared" si="1"/>
      </c>
      <c r="I10" s="627"/>
      <c r="K10" s="12">
        <f t="shared" si="2"/>
      </c>
      <c r="L10" s="12">
        <f t="shared" si="3"/>
      </c>
      <c r="M10" s="11">
        <f t="shared" si="4"/>
      </c>
    </row>
    <row r="11" spans="1:13" ht="12.75">
      <c r="A11" s="13">
        <f t="shared" si="5"/>
      </c>
      <c r="B11" t="e">
        <f>VLOOKUP(H11,OnScaleCalc!$D$85:$E$93,2,FALSE)</f>
        <v>#N/A</v>
      </c>
      <c r="C11" t="e">
        <f t="shared" si="6"/>
        <v>#N/A</v>
      </c>
      <c r="D11" s="2">
        <f t="shared" si="0"/>
      </c>
      <c r="E11" s="52"/>
      <c r="F11" s="52"/>
      <c r="G11" s="616">
        <f t="shared" si="7"/>
      </c>
      <c r="H11" s="2">
        <f t="shared" si="1"/>
      </c>
      <c r="I11" s="627"/>
      <c r="K11" s="12">
        <f t="shared" si="2"/>
      </c>
      <c r="L11" s="12">
        <f t="shared" si="3"/>
      </c>
      <c r="M11" s="11">
        <f t="shared" si="4"/>
      </c>
    </row>
    <row r="12" spans="1:13" ht="12.75">
      <c r="A12" s="13">
        <f t="shared" si="5"/>
      </c>
      <c r="B12" t="e">
        <f>VLOOKUP(H12,OnScaleCalc!$D$85:$E$93,2,FALSE)</f>
        <v>#N/A</v>
      </c>
      <c r="C12" t="e">
        <f t="shared" si="6"/>
        <v>#N/A</v>
      </c>
      <c r="D12" s="2">
        <f t="shared" si="0"/>
      </c>
      <c r="E12" s="52"/>
      <c r="F12" s="52"/>
      <c r="G12" s="616">
        <f t="shared" si="7"/>
      </c>
      <c r="H12" s="2">
        <f t="shared" si="1"/>
      </c>
      <c r="I12" s="627"/>
      <c r="K12" s="12">
        <f t="shared" si="2"/>
      </c>
      <c r="L12" s="12">
        <f t="shared" si="3"/>
      </c>
      <c r="M12" s="11">
        <f t="shared" si="4"/>
      </c>
    </row>
    <row r="13" spans="1:13" ht="12.75">
      <c r="A13" s="13">
        <f t="shared" si="5"/>
      </c>
      <c r="B13" t="e">
        <f>VLOOKUP(H13,OnScaleCalc!$D$85:$E$93,2,FALSE)</f>
        <v>#N/A</v>
      </c>
      <c r="C13" t="e">
        <f t="shared" si="6"/>
        <v>#N/A</v>
      </c>
      <c r="D13" s="2">
        <f t="shared" si="0"/>
      </c>
      <c r="E13" s="52"/>
      <c r="F13" s="52"/>
      <c r="G13" s="616">
        <f t="shared" si="7"/>
      </c>
      <c r="H13" s="2">
        <f t="shared" si="1"/>
      </c>
      <c r="I13" s="627"/>
      <c r="K13" s="12">
        <f t="shared" si="2"/>
      </c>
      <c r="L13" s="12">
        <f t="shared" si="3"/>
      </c>
      <c r="M13" s="11">
        <f t="shared" si="4"/>
      </c>
    </row>
    <row r="14" spans="1:13" ht="12.75">
      <c r="A14" s="13">
        <f t="shared" si="5"/>
      </c>
      <c r="B14" t="e">
        <f>VLOOKUP(H14,OnScaleCalc!$D$85:$E$93,2,FALSE)</f>
        <v>#N/A</v>
      </c>
      <c r="C14" t="e">
        <f t="shared" si="6"/>
        <v>#N/A</v>
      </c>
      <c r="D14" s="2">
        <f t="shared" si="0"/>
      </c>
      <c r="E14" s="52"/>
      <c r="F14" s="52"/>
      <c r="G14" s="616">
        <f t="shared" si="7"/>
      </c>
      <c r="H14" s="2">
        <f t="shared" si="1"/>
      </c>
      <c r="I14" s="627"/>
      <c r="K14" s="12">
        <f t="shared" si="2"/>
      </c>
      <c r="L14" s="12">
        <f t="shared" si="3"/>
      </c>
      <c r="M14" s="11">
        <f t="shared" si="4"/>
      </c>
    </row>
    <row r="15" spans="1:13" ht="12.75">
      <c r="A15" s="13">
        <f t="shared" si="5"/>
      </c>
      <c r="B15" t="e">
        <f>VLOOKUP(H15,OnScaleCalc!$D$85:$E$93,2,FALSE)</f>
        <v>#N/A</v>
      </c>
      <c r="C15" t="e">
        <f t="shared" si="6"/>
        <v>#N/A</v>
      </c>
      <c r="D15" s="2">
        <f t="shared" si="0"/>
      </c>
      <c r="E15" s="52"/>
      <c r="F15" s="52"/>
      <c r="G15" s="616">
        <f t="shared" si="7"/>
      </c>
      <c r="H15" s="2">
        <f t="shared" si="1"/>
      </c>
      <c r="I15" s="627"/>
      <c r="K15" s="12">
        <f t="shared" si="2"/>
      </c>
      <c r="L15" s="12">
        <f t="shared" si="3"/>
      </c>
      <c r="M15" s="11">
        <f t="shared" si="4"/>
      </c>
    </row>
    <row r="16" spans="1:13" ht="12.75">
      <c r="A16" s="13">
        <f t="shared" si="5"/>
      </c>
      <c r="B16" t="e">
        <f>VLOOKUP(H16,OnScaleCalc!$D$85:$E$93,2,FALSE)</f>
        <v>#N/A</v>
      </c>
      <c r="C16" t="e">
        <f t="shared" si="6"/>
        <v>#N/A</v>
      </c>
      <c r="D16" s="2">
        <f t="shared" si="0"/>
      </c>
      <c r="E16" s="52"/>
      <c r="F16" s="52"/>
      <c r="G16" s="616">
        <f t="shared" si="7"/>
      </c>
      <c r="H16" s="2">
        <f t="shared" si="1"/>
      </c>
      <c r="I16" s="627"/>
      <c r="K16" s="12">
        <f t="shared" si="2"/>
      </c>
      <c r="L16" s="12">
        <f t="shared" si="3"/>
      </c>
      <c r="M16" s="11">
        <f t="shared" si="4"/>
      </c>
    </row>
    <row r="17" spans="4:13" s="117" customFormat="1" ht="25.5">
      <c r="D17" s="57" t="s">
        <v>107</v>
      </c>
      <c r="E17" s="57" t="s">
        <v>108</v>
      </c>
      <c r="F17" s="57" t="s">
        <v>109</v>
      </c>
      <c r="G17" s="57" t="s">
        <v>156</v>
      </c>
      <c r="H17" s="57" t="s">
        <v>124</v>
      </c>
      <c r="I17" s="57" t="s">
        <v>111</v>
      </c>
      <c r="J17" s="57" t="s">
        <v>178</v>
      </c>
      <c r="K17" s="57" t="s">
        <v>5</v>
      </c>
      <c r="L17" s="57" t="s">
        <v>133</v>
      </c>
      <c r="M17" s="57" t="s">
        <v>134</v>
      </c>
    </row>
    <row r="18" spans="1:13" ht="12.75">
      <c r="A18" s="13">
        <f aca="true" t="shared" si="8" ref="A18:A52">IF((ISBLANK(F66)),"",F66)</f>
      </c>
      <c r="B18" t="e">
        <f>VLOOKUP(H18,OnScaleCalc!$D$85:$E$93,2,FALSE)</f>
        <v>#N/A</v>
      </c>
      <c r="C18" t="e">
        <f aca="true" t="shared" si="9" ref="C18:C52">IF(OR(B18=3,B18=2),SUMIF($I$64:$L$64,D18,$I$65:$L$65),"")</f>
        <v>#N/A</v>
      </c>
      <c r="D18" s="2">
        <f aca="true" t="shared" si="10" ref="D18:D52">IF(A18="","",IF(ISBLANK(C66),"",C66))</f>
      </c>
      <c r="E18" s="52"/>
      <c r="F18" s="52"/>
      <c r="G18" s="616">
        <f>IF((ISBLANK(A18)),"",M18)</f>
      </c>
      <c r="H18" s="2">
        <f aca="true" t="shared" si="11" ref="H18:H52">IF(A18="","",E66)</f>
      </c>
      <c r="I18" s="627"/>
      <c r="K18" s="12">
        <f aca="true" t="shared" si="12" ref="K18:K52">IF(A18="","",IF(ISERROR(C18*H66),L18,L18+(C18*H66)))</f>
      </c>
      <c r="L18" s="12">
        <f aca="true" t="shared" si="13" ref="L18:L52">IF(A18="","",G66)</f>
      </c>
      <c r="M18" s="11">
        <f aca="true" t="shared" si="14" ref="M18:M52">IF($I$62=2,IF(ISERROR(K18/SUMIF($D$18:$D$52,D18,$K$18:$K$52)),"",K18/SUMIF($D$18:$D$52,D18,$K$18:$K$52)),A18)</f>
      </c>
    </row>
    <row r="19" spans="1:13" ht="12.75">
      <c r="A19" s="13">
        <f t="shared" si="8"/>
      </c>
      <c r="B19" t="e">
        <f>VLOOKUP(H19,OnScaleCalc!$D$85:$E$93,2,FALSE)</f>
        <v>#N/A</v>
      </c>
      <c r="C19" t="e">
        <f t="shared" si="9"/>
        <v>#N/A</v>
      </c>
      <c r="D19" s="2">
        <f t="shared" si="10"/>
      </c>
      <c r="E19" s="52"/>
      <c r="F19" s="52"/>
      <c r="G19" s="616">
        <f>IF((ISBLANK(A19)),"",M19)</f>
      </c>
      <c r="H19" s="2">
        <f t="shared" si="11"/>
      </c>
      <c r="I19" s="627"/>
      <c r="K19" s="12">
        <f t="shared" si="12"/>
      </c>
      <c r="L19" s="12">
        <f t="shared" si="13"/>
      </c>
      <c r="M19" s="11">
        <f t="shared" si="14"/>
      </c>
    </row>
    <row r="20" spans="1:13" ht="12.75">
      <c r="A20" s="13">
        <f t="shared" si="8"/>
      </c>
      <c r="B20" t="e">
        <f>VLOOKUP(H20,OnScaleCalc!$D$85:$E$93,2,FALSE)</f>
        <v>#N/A</v>
      </c>
      <c r="C20" t="e">
        <f t="shared" si="9"/>
        <v>#N/A</v>
      </c>
      <c r="D20" s="2">
        <f t="shared" si="10"/>
      </c>
      <c r="E20" s="52"/>
      <c r="F20" s="52"/>
      <c r="G20" s="616">
        <f aca="true" t="shared" si="15" ref="G20:G52">IF((ISBLANK(A20)),"",M20)</f>
      </c>
      <c r="H20" s="2">
        <f t="shared" si="11"/>
      </c>
      <c r="I20" s="627"/>
      <c r="K20" s="12">
        <f t="shared" si="12"/>
      </c>
      <c r="L20" s="12">
        <f t="shared" si="13"/>
      </c>
      <c r="M20" s="11">
        <f t="shared" si="14"/>
      </c>
    </row>
    <row r="21" spans="1:13" ht="12.75">
      <c r="A21" s="13">
        <f t="shared" si="8"/>
      </c>
      <c r="B21" t="e">
        <f>VLOOKUP(H21,OnScaleCalc!$D$85:$E$93,2,FALSE)</f>
        <v>#N/A</v>
      </c>
      <c r="C21" t="e">
        <f t="shared" si="9"/>
        <v>#N/A</v>
      </c>
      <c r="D21" s="2">
        <f t="shared" si="10"/>
      </c>
      <c r="E21" s="52"/>
      <c r="F21" s="52"/>
      <c r="G21" s="616">
        <f t="shared" si="15"/>
      </c>
      <c r="H21" s="2">
        <f t="shared" si="11"/>
      </c>
      <c r="I21" s="627"/>
      <c r="K21" s="12">
        <f t="shared" si="12"/>
      </c>
      <c r="L21" s="12">
        <f t="shared" si="13"/>
      </c>
      <c r="M21" s="11">
        <f t="shared" si="14"/>
      </c>
    </row>
    <row r="22" spans="1:13" ht="12.75">
      <c r="A22" s="13">
        <f t="shared" si="8"/>
      </c>
      <c r="B22" t="e">
        <f>VLOOKUP(H22,OnScaleCalc!$D$85:$E$93,2,FALSE)</f>
        <v>#N/A</v>
      </c>
      <c r="C22" t="e">
        <f t="shared" si="9"/>
        <v>#N/A</v>
      </c>
      <c r="D22" s="2">
        <f t="shared" si="10"/>
      </c>
      <c r="E22" s="52"/>
      <c r="F22" s="52"/>
      <c r="G22" s="616">
        <f t="shared" si="15"/>
      </c>
      <c r="H22" s="2">
        <f t="shared" si="11"/>
      </c>
      <c r="I22" s="627"/>
      <c r="K22" s="12">
        <f t="shared" si="12"/>
      </c>
      <c r="L22" s="12">
        <f t="shared" si="13"/>
      </c>
      <c r="M22" s="11">
        <f t="shared" si="14"/>
      </c>
    </row>
    <row r="23" spans="1:13" ht="12.75">
      <c r="A23" s="13">
        <f t="shared" si="8"/>
      </c>
      <c r="B23" t="e">
        <f>VLOOKUP(H23,OnScaleCalc!$D$85:$E$93,2,FALSE)</f>
        <v>#N/A</v>
      </c>
      <c r="C23" t="e">
        <f t="shared" si="9"/>
        <v>#N/A</v>
      </c>
      <c r="D23" s="2">
        <f t="shared" si="10"/>
      </c>
      <c r="E23" s="52"/>
      <c r="F23" s="52"/>
      <c r="G23" s="616">
        <f t="shared" si="15"/>
      </c>
      <c r="H23" s="2">
        <f t="shared" si="11"/>
      </c>
      <c r="I23" s="627"/>
      <c r="K23" s="12">
        <f t="shared" si="12"/>
      </c>
      <c r="L23" s="12">
        <f t="shared" si="13"/>
      </c>
      <c r="M23" s="11">
        <f t="shared" si="14"/>
      </c>
    </row>
    <row r="24" spans="1:13" ht="12.75">
      <c r="A24" s="13">
        <f t="shared" si="8"/>
      </c>
      <c r="B24" t="e">
        <f>VLOOKUP(H24,OnScaleCalc!$D$85:$E$93,2,FALSE)</f>
        <v>#N/A</v>
      </c>
      <c r="C24" t="e">
        <f t="shared" si="9"/>
        <v>#N/A</v>
      </c>
      <c r="D24" s="2">
        <f t="shared" si="10"/>
      </c>
      <c r="E24" s="52"/>
      <c r="F24" s="52"/>
      <c r="G24" s="616">
        <f t="shared" si="15"/>
      </c>
      <c r="H24" s="2">
        <f t="shared" si="11"/>
      </c>
      <c r="I24" s="627"/>
      <c r="K24" s="12">
        <f t="shared" si="12"/>
      </c>
      <c r="L24" s="12">
        <f t="shared" si="13"/>
      </c>
      <c r="M24" s="11">
        <f t="shared" si="14"/>
      </c>
    </row>
    <row r="25" spans="1:13" ht="12.75">
      <c r="A25" s="13">
        <f t="shared" si="8"/>
      </c>
      <c r="B25" t="e">
        <f>VLOOKUP(H25,OnScaleCalc!$D$85:$E$93,2,FALSE)</f>
        <v>#N/A</v>
      </c>
      <c r="C25" t="e">
        <f t="shared" si="9"/>
        <v>#N/A</v>
      </c>
      <c r="D25" s="2">
        <f t="shared" si="10"/>
      </c>
      <c r="E25" s="52"/>
      <c r="F25" s="52"/>
      <c r="G25" s="616">
        <f t="shared" si="15"/>
      </c>
      <c r="H25" s="2">
        <f t="shared" si="11"/>
      </c>
      <c r="I25" s="627"/>
      <c r="K25" s="12">
        <f t="shared" si="12"/>
      </c>
      <c r="L25" s="12">
        <f t="shared" si="13"/>
      </c>
      <c r="M25" s="11">
        <f t="shared" si="14"/>
      </c>
    </row>
    <row r="26" spans="1:13" ht="12.75">
      <c r="A26" s="13">
        <f t="shared" si="8"/>
      </c>
      <c r="B26" t="e">
        <f>VLOOKUP(H26,OnScaleCalc!$D$85:$E$93,2,FALSE)</f>
        <v>#N/A</v>
      </c>
      <c r="C26" t="e">
        <f t="shared" si="9"/>
        <v>#N/A</v>
      </c>
      <c r="D26" s="2">
        <f t="shared" si="10"/>
      </c>
      <c r="E26" s="52"/>
      <c r="F26" s="52"/>
      <c r="G26" s="616">
        <f t="shared" si="15"/>
      </c>
      <c r="H26" s="2">
        <f t="shared" si="11"/>
      </c>
      <c r="I26" s="627"/>
      <c r="K26" s="12">
        <f t="shared" si="12"/>
      </c>
      <c r="L26" s="12">
        <f t="shared" si="13"/>
      </c>
      <c r="M26" s="11">
        <f t="shared" si="14"/>
      </c>
    </row>
    <row r="27" spans="1:13" ht="12.75">
      <c r="A27" s="13">
        <f t="shared" si="8"/>
      </c>
      <c r="B27" t="e">
        <f>VLOOKUP(H27,OnScaleCalc!$D$85:$E$93,2,FALSE)</f>
        <v>#N/A</v>
      </c>
      <c r="C27" t="e">
        <f t="shared" si="9"/>
        <v>#N/A</v>
      </c>
      <c r="D27" s="2">
        <f t="shared" si="10"/>
      </c>
      <c r="E27" s="52"/>
      <c r="F27" s="52"/>
      <c r="G27" s="616">
        <f t="shared" si="15"/>
      </c>
      <c r="H27" s="2">
        <f t="shared" si="11"/>
      </c>
      <c r="I27" s="627"/>
      <c r="K27" s="12">
        <f t="shared" si="12"/>
      </c>
      <c r="L27" s="12">
        <f t="shared" si="13"/>
      </c>
      <c r="M27" s="11">
        <f t="shared" si="14"/>
      </c>
    </row>
    <row r="28" spans="1:13" ht="12.75">
      <c r="A28" s="13">
        <f t="shared" si="8"/>
      </c>
      <c r="B28" t="e">
        <f>VLOOKUP(H28,OnScaleCalc!$D$85:$E$93,2,FALSE)</f>
        <v>#N/A</v>
      </c>
      <c r="C28" t="e">
        <f t="shared" si="9"/>
        <v>#N/A</v>
      </c>
      <c r="D28" s="2">
        <f t="shared" si="10"/>
      </c>
      <c r="E28" s="52"/>
      <c r="F28" s="52"/>
      <c r="G28" s="616">
        <f t="shared" si="15"/>
      </c>
      <c r="H28" s="2">
        <f t="shared" si="11"/>
      </c>
      <c r="I28" s="627"/>
      <c r="K28" s="12">
        <f t="shared" si="12"/>
      </c>
      <c r="L28" s="12">
        <f t="shared" si="13"/>
      </c>
      <c r="M28" s="11">
        <f t="shared" si="14"/>
      </c>
    </row>
    <row r="29" spans="1:13" ht="12.75">
      <c r="A29" s="13">
        <f t="shared" si="8"/>
      </c>
      <c r="B29" t="e">
        <f>VLOOKUP(H29,OnScaleCalc!$D$85:$E$93,2,FALSE)</f>
        <v>#N/A</v>
      </c>
      <c r="C29" t="e">
        <f t="shared" si="9"/>
        <v>#N/A</v>
      </c>
      <c r="D29" s="2">
        <f t="shared" si="10"/>
      </c>
      <c r="E29" s="52"/>
      <c r="F29" s="52"/>
      <c r="G29" s="616">
        <f t="shared" si="15"/>
      </c>
      <c r="H29" s="2">
        <f t="shared" si="11"/>
      </c>
      <c r="I29" s="627"/>
      <c r="K29" s="12">
        <f t="shared" si="12"/>
      </c>
      <c r="L29" s="12">
        <f t="shared" si="13"/>
      </c>
      <c r="M29" s="11">
        <f t="shared" si="14"/>
      </c>
    </row>
    <row r="30" spans="1:13" ht="12.75">
      <c r="A30" s="13">
        <f t="shared" si="8"/>
      </c>
      <c r="B30" t="e">
        <f>VLOOKUP(H30,OnScaleCalc!$D$85:$E$93,2,FALSE)</f>
        <v>#N/A</v>
      </c>
      <c r="C30" t="e">
        <f t="shared" si="9"/>
        <v>#N/A</v>
      </c>
      <c r="D30" s="2">
        <f t="shared" si="10"/>
      </c>
      <c r="E30" s="52"/>
      <c r="F30" s="52"/>
      <c r="G30" s="616">
        <f t="shared" si="15"/>
      </c>
      <c r="H30" s="2">
        <f t="shared" si="11"/>
      </c>
      <c r="I30" s="627"/>
      <c r="K30" s="12">
        <f t="shared" si="12"/>
      </c>
      <c r="L30" s="12">
        <f t="shared" si="13"/>
      </c>
      <c r="M30" s="11">
        <f t="shared" si="14"/>
      </c>
    </row>
    <row r="31" spans="1:13" ht="12.75">
      <c r="A31" s="13">
        <f t="shared" si="8"/>
      </c>
      <c r="B31" t="e">
        <f>VLOOKUP(H31,OnScaleCalc!$D$85:$E$93,2,FALSE)</f>
        <v>#N/A</v>
      </c>
      <c r="C31" t="e">
        <f t="shared" si="9"/>
        <v>#N/A</v>
      </c>
      <c r="D31" s="2">
        <f t="shared" si="10"/>
      </c>
      <c r="E31" s="52"/>
      <c r="F31" s="52"/>
      <c r="G31" s="616">
        <f t="shared" si="15"/>
      </c>
      <c r="H31" s="2">
        <f t="shared" si="11"/>
      </c>
      <c r="I31" s="627"/>
      <c r="K31" s="12">
        <f t="shared" si="12"/>
      </c>
      <c r="L31" s="12">
        <f t="shared" si="13"/>
      </c>
      <c r="M31" s="11">
        <f t="shared" si="14"/>
      </c>
    </row>
    <row r="32" spans="1:13" ht="12.75">
      <c r="A32" s="13">
        <f t="shared" si="8"/>
      </c>
      <c r="B32" t="e">
        <f>VLOOKUP(H32,OnScaleCalc!$D$85:$E$93,2,FALSE)</f>
        <v>#N/A</v>
      </c>
      <c r="C32" t="e">
        <f t="shared" si="9"/>
        <v>#N/A</v>
      </c>
      <c r="D32" s="2">
        <f t="shared" si="10"/>
      </c>
      <c r="E32" s="52"/>
      <c r="F32" s="52"/>
      <c r="G32" s="616">
        <f t="shared" si="15"/>
      </c>
      <c r="H32" s="2">
        <f t="shared" si="11"/>
      </c>
      <c r="I32" s="627"/>
      <c r="K32" s="12">
        <f t="shared" si="12"/>
      </c>
      <c r="L32" s="12">
        <f t="shared" si="13"/>
      </c>
      <c r="M32" s="11">
        <f t="shared" si="14"/>
      </c>
    </row>
    <row r="33" spans="1:13" ht="12.75">
      <c r="A33" s="13">
        <f t="shared" si="8"/>
      </c>
      <c r="B33" t="e">
        <f>VLOOKUP(H33,OnScaleCalc!$D$85:$E$93,2,FALSE)</f>
        <v>#N/A</v>
      </c>
      <c r="C33" t="e">
        <f t="shared" si="9"/>
        <v>#N/A</v>
      </c>
      <c r="D33" s="2">
        <f t="shared" si="10"/>
      </c>
      <c r="E33" s="52"/>
      <c r="F33" s="52"/>
      <c r="G33" s="616">
        <f t="shared" si="15"/>
      </c>
      <c r="H33" s="2">
        <f t="shared" si="11"/>
      </c>
      <c r="I33" s="627"/>
      <c r="K33" s="12">
        <f t="shared" si="12"/>
      </c>
      <c r="L33" s="12">
        <f t="shared" si="13"/>
      </c>
      <c r="M33" s="11">
        <f t="shared" si="14"/>
      </c>
    </row>
    <row r="34" spans="1:13" ht="12.75">
      <c r="A34" s="13">
        <f t="shared" si="8"/>
      </c>
      <c r="B34" t="e">
        <f>VLOOKUP(H34,OnScaleCalc!$D$85:$E$93,2,FALSE)</f>
        <v>#N/A</v>
      </c>
      <c r="C34" t="e">
        <f t="shared" si="9"/>
        <v>#N/A</v>
      </c>
      <c r="D34" s="2">
        <f t="shared" si="10"/>
      </c>
      <c r="E34" s="52"/>
      <c r="F34" s="52"/>
      <c r="G34" s="616">
        <f t="shared" si="15"/>
      </c>
      <c r="H34" s="2">
        <f t="shared" si="11"/>
      </c>
      <c r="I34" s="627"/>
      <c r="K34" s="12">
        <f t="shared" si="12"/>
      </c>
      <c r="L34" s="12">
        <f t="shared" si="13"/>
      </c>
      <c r="M34" s="11">
        <f t="shared" si="14"/>
      </c>
    </row>
    <row r="35" spans="1:13" ht="12.75">
      <c r="A35" s="13">
        <f t="shared" si="8"/>
      </c>
      <c r="B35" t="e">
        <f>VLOOKUP(H35,OnScaleCalc!$D$85:$E$93,2,FALSE)</f>
        <v>#N/A</v>
      </c>
      <c r="C35" t="e">
        <f t="shared" si="9"/>
        <v>#N/A</v>
      </c>
      <c r="D35" s="2">
        <f t="shared" si="10"/>
      </c>
      <c r="E35" s="52"/>
      <c r="F35" s="52"/>
      <c r="G35" s="616">
        <f t="shared" si="15"/>
      </c>
      <c r="H35" s="2">
        <f t="shared" si="11"/>
      </c>
      <c r="I35" s="627"/>
      <c r="K35" s="12">
        <f t="shared" si="12"/>
      </c>
      <c r="L35" s="12">
        <f t="shared" si="13"/>
      </c>
      <c r="M35" s="11">
        <f t="shared" si="14"/>
      </c>
    </row>
    <row r="36" spans="1:13" ht="12.75">
      <c r="A36" s="13">
        <f t="shared" si="8"/>
      </c>
      <c r="B36" t="e">
        <f>VLOOKUP(H36,OnScaleCalc!$D$85:$E$93,2,FALSE)</f>
        <v>#N/A</v>
      </c>
      <c r="C36" t="e">
        <f t="shared" si="9"/>
        <v>#N/A</v>
      </c>
      <c r="D36" s="2">
        <f t="shared" si="10"/>
      </c>
      <c r="E36" s="52"/>
      <c r="F36" s="52"/>
      <c r="G36" s="616">
        <f t="shared" si="15"/>
      </c>
      <c r="H36" s="2">
        <f t="shared" si="11"/>
      </c>
      <c r="I36" s="627"/>
      <c r="K36" s="12">
        <f t="shared" si="12"/>
      </c>
      <c r="L36" s="12">
        <f t="shared" si="13"/>
      </c>
      <c r="M36" s="11">
        <f t="shared" si="14"/>
      </c>
    </row>
    <row r="37" spans="1:13" ht="12.75">
      <c r="A37" s="13">
        <f t="shared" si="8"/>
      </c>
      <c r="B37" t="e">
        <f>VLOOKUP(H37,OnScaleCalc!$D$85:$E$93,2,FALSE)</f>
        <v>#N/A</v>
      </c>
      <c r="C37" t="e">
        <f t="shared" si="9"/>
        <v>#N/A</v>
      </c>
      <c r="D37" s="2">
        <f t="shared" si="10"/>
      </c>
      <c r="E37" s="52"/>
      <c r="F37" s="52"/>
      <c r="G37" s="616">
        <f t="shared" si="15"/>
      </c>
      <c r="H37" s="2">
        <f t="shared" si="11"/>
      </c>
      <c r="I37" s="627"/>
      <c r="K37" s="12">
        <f t="shared" si="12"/>
      </c>
      <c r="L37" s="12">
        <f t="shared" si="13"/>
      </c>
      <c r="M37" s="11">
        <f t="shared" si="14"/>
      </c>
    </row>
    <row r="38" spans="1:13" ht="12.75">
      <c r="A38" s="13">
        <f t="shared" si="8"/>
      </c>
      <c r="B38" t="e">
        <f>VLOOKUP(H38,OnScaleCalc!$D$85:$E$93,2,FALSE)</f>
        <v>#N/A</v>
      </c>
      <c r="C38" t="e">
        <f t="shared" si="9"/>
        <v>#N/A</v>
      </c>
      <c r="D38" s="2">
        <f t="shared" si="10"/>
      </c>
      <c r="E38" s="52"/>
      <c r="F38" s="52"/>
      <c r="G38" s="616">
        <f t="shared" si="15"/>
      </c>
      <c r="H38" s="2">
        <f t="shared" si="11"/>
      </c>
      <c r="I38" s="627"/>
      <c r="K38" s="12">
        <f t="shared" si="12"/>
      </c>
      <c r="L38" s="12">
        <f t="shared" si="13"/>
      </c>
      <c r="M38" s="11">
        <f t="shared" si="14"/>
      </c>
    </row>
    <row r="39" spans="1:13" ht="12.75">
      <c r="A39" s="13">
        <f t="shared" si="8"/>
      </c>
      <c r="B39" t="e">
        <f>VLOOKUP(H39,OnScaleCalc!$D$85:$E$93,2,FALSE)</f>
        <v>#N/A</v>
      </c>
      <c r="C39" t="e">
        <f t="shared" si="9"/>
        <v>#N/A</v>
      </c>
      <c r="D39" s="2">
        <f t="shared" si="10"/>
      </c>
      <c r="E39" s="52"/>
      <c r="F39" s="52"/>
      <c r="G39" s="616">
        <f t="shared" si="15"/>
      </c>
      <c r="H39" s="2">
        <f t="shared" si="11"/>
      </c>
      <c r="I39" s="627"/>
      <c r="K39" s="12">
        <f t="shared" si="12"/>
      </c>
      <c r="L39" s="12">
        <f t="shared" si="13"/>
      </c>
      <c r="M39" s="11">
        <f t="shared" si="14"/>
      </c>
    </row>
    <row r="40" spans="1:13" ht="12.75">
      <c r="A40" s="13">
        <f t="shared" si="8"/>
      </c>
      <c r="B40" t="e">
        <f>VLOOKUP(H40,OnScaleCalc!$D$85:$E$93,2,FALSE)</f>
        <v>#N/A</v>
      </c>
      <c r="C40" t="e">
        <f t="shared" si="9"/>
        <v>#N/A</v>
      </c>
      <c r="D40" s="2">
        <f t="shared" si="10"/>
      </c>
      <c r="E40" s="52"/>
      <c r="F40" s="52"/>
      <c r="G40" s="616">
        <f t="shared" si="15"/>
      </c>
      <c r="H40" s="2">
        <f t="shared" si="11"/>
      </c>
      <c r="I40" s="627"/>
      <c r="K40" s="12">
        <f t="shared" si="12"/>
      </c>
      <c r="L40" s="12">
        <f t="shared" si="13"/>
      </c>
      <c r="M40" s="11">
        <f t="shared" si="14"/>
      </c>
    </row>
    <row r="41" spans="1:13" ht="12.75">
      <c r="A41" s="13">
        <f t="shared" si="8"/>
      </c>
      <c r="B41" t="e">
        <f>VLOOKUP(H41,OnScaleCalc!$D$85:$E$93,2,FALSE)</f>
        <v>#N/A</v>
      </c>
      <c r="C41" t="e">
        <f t="shared" si="9"/>
        <v>#N/A</v>
      </c>
      <c r="D41" s="2">
        <f t="shared" si="10"/>
      </c>
      <c r="E41" s="52"/>
      <c r="F41" s="52"/>
      <c r="G41" s="616">
        <f t="shared" si="15"/>
      </c>
      <c r="H41" s="2">
        <f t="shared" si="11"/>
      </c>
      <c r="I41" s="627"/>
      <c r="K41" s="12">
        <f t="shared" si="12"/>
      </c>
      <c r="L41" s="12">
        <f t="shared" si="13"/>
      </c>
      <c r="M41" s="11">
        <f t="shared" si="14"/>
      </c>
    </row>
    <row r="42" spans="1:13" ht="12.75">
      <c r="A42" s="13">
        <f t="shared" si="8"/>
      </c>
      <c r="B42" t="e">
        <f>VLOOKUP(H42,OnScaleCalc!$D$85:$E$93,2,FALSE)</f>
        <v>#N/A</v>
      </c>
      <c r="C42" t="e">
        <f t="shared" si="9"/>
        <v>#N/A</v>
      </c>
      <c r="D42" s="2">
        <f t="shared" si="10"/>
      </c>
      <c r="E42" s="52"/>
      <c r="F42" s="52"/>
      <c r="G42" s="616">
        <f t="shared" si="15"/>
      </c>
      <c r="H42" s="2">
        <f t="shared" si="11"/>
      </c>
      <c r="I42" s="627"/>
      <c r="K42" s="12">
        <f t="shared" si="12"/>
      </c>
      <c r="L42" s="12">
        <f t="shared" si="13"/>
      </c>
      <c r="M42" s="11">
        <f t="shared" si="14"/>
      </c>
    </row>
    <row r="43" spans="1:13" ht="12.75">
      <c r="A43" s="13">
        <f t="shared" si="8"/>
      </c>
      <c r="B43" t="e">
        <f>VLOOKUP(H43,OnScaleCalc!$D$85:$E$93,2,FALSE)</f>
        <v>#N/A</v>
      </c>
      <c r="C43" t="e">
        <f t="shared" si="9"/>
        <v>#N/A</v>
      </c>
      <c r="D43" s="2">
        <f t="shared" si="10"/>
      </c>
      <c r="E43" s="52"/>
      <c r="F43" s="52"/>
      <c r="G43" s="616">
        <f t="shared" si="15"/>
      </c>
      <c r="H43" s="2">
        <f t="shared" si="11"/>
      </c>
      <c r="I43" s="627"/>
      <c r="K43" s="12">
        <f t="shared" si="12"/>
      </c>
      <c r="L43" s="12">
        <f t="shared" si="13"/>
      </c>
      <c r="M43" s="11">
        <f t="shared" si="14"/>
      </c>
    </row>
    <row r="44" spans="1:13" ht="12.75">
      <c r="A44" s="13">
        <f t="shared" si="8"/>
      </c>
      <c r="B44" t="e">
        <f>VLOOKUP(H44,OnScaleCalc!$D$85:$E$93,2,FALSE)</f>
        <v>#N/A</v>
      </c>
      <c r="C44" t="e">
        <f t="shared" si="9"/>
        <v>#N/A</v>
      </c>
      <c r="D44" s="2">
        <f t="shared" si="10"/>
      </c>
      <c r="E44" s="52"/>
      <c r="F44" s="52"/>
      <c r="G44" s="616">
        <f t="shared" si="15"/>
      </c>
      <c r="H44" s="2">
        <f t="shared" si="11"/>
      </c>
      <c r="I44" s="627"/>
      <c r="K44" s="12">
        <f t="shared" si="12"/>
      </c>
      <c r="L44" s="12">
        <f t="shared" si="13"/>
      </c>
      <c r="M44" s="11">
        <f t="shared" si="14"/>
      </c>
    </row>
    <row r="45" spans="1:13" ht="12.75">
      <c r="A45" s="13">
        <f t="shared" si="8"/>
      </c>
      <c r="B45" t="e">
        <f>VLOOKUP(H45,OnScaleCalc!$D$85:$E$93,2,FALSE)</f>
        <v>#N/A</v>
      </c>
      <c r="C45" t="e">
        <f t="shared" si="9"/>
        <v>#N/A</v>
      </c>
      <c r="D45" s="2">
        <f t="shared" si="10"/>
      </c>
      <c r="E45" s="52"/>
      <c r="F45" s="52"/>
      <c r="G45" s="616">
        <f t="shared" si="15"/>
      </c>
      <c r="H45" s="2">
        <f t="shared" si="11"/>
      </c>
      <c r="I45" s="627"/>
      <c r="K45" s="12">
        <f t="shared" si="12"/>
      </c>
      <c r="L45" s="12">
        <f t="shared" si="13"/>
      </c>
      <c r="M45" s="11">
        <f t="shared" si="14"/>
      </c>
    </row>
    <row r="46" spans="1:13" ht="12.75">
      <c r="A46" s="13">
        <f t="shared" si="8"/>
      </c>
      <c r="B46" t="e">
        <f>VLOOKUP(H46,OnScaleCalc!$D$85:$E$93,2,FALSE)</f>
        <v>#N/A</v>
      </c>
      <c r="C46" t="e">
        <f t="shared" si="9"/>
        <v>#N/A</v>
      </c>
      <c r="D46" s="2">
        <f t="shared" si="10"/>
      </c>
      <c r="E46" s="52"/>
      <c r="F46" s="52"/>
      <c r="G46" s="616">
        <f t="shared" si="15"/>
      </c>
      <c r="H46" s="2">
        <f t="shared" si="11"/>
      </c>
      <c r="I46" s="627"/>
      <c r="K46" s="12">
        <f t="shared" si="12"/>
      </c>
      <c r="L46" s="12">
        <f t="shared" si="13"/>
      </c>
      <c r="M46" s="11">
        <f t="shared" si="14"/>
      </c>
    </row>
    <row r="47" spans="1:13" ht="12.75">
      <c r="A47" s="13">
        <f t="shared" si="8"/>
      </c>
      <c r="B47" t="e">
        <f>VLOOKUP(H47,OnScaleCalc!$D$85:$E$93,2,FALSE)</f>
        <v>#N/A</v>
      </c>
      <c r="C47" t="e">
        <f t="shared" si="9"/>
        <v>#N/A</v>
      </c>
      <c r="D47" s="2">
        <f t="shared" si="10"/>
      </c>
      <c r="E47" s="52"/>
      <c r="F47" s="52"/>
      <c r="G47" s="616">
        <f t="shared" si="15"/>
      </c>
      <c r="H47" s="2">
        <f t="shared" si="11"/>
      </c>
      <c r="I47" s="627"/>
      <c r="K47" s="12">
        <f t="shared" si="12"/>
      </c>
      <c r="L47" s="12">
        <f t="shared" si="13"/>
      </c>
      <c r="M47" s="11">
        <f t="shared" si="14"/>
      </c>
    </row>
    <row r="48" spans="1:13" ht="12.75">
      <c r="A48" s="13">
        <f t="shared" si="8"/>
      </c>
      <c r="B48" t="e">
        <f>VLOOKUP(H48,OnScaleCalc!$D$85:$E$93,2,FALSE)</f>
        <v>#N/A</v>
      </c>
      <c r="C48" t="e">
        <f t="shared" si="9"/>
        <v>#N/A</v>
      </c>
      <c r="D48" s="2">
        <f t="shared" si="10"/>
      </c>
      <c r="E48" s="52"/>
      <c r="F48" s="52"/>
      <c r="G48" s="616">
        <f t="shared" si="15"/>
      </c>
      <c r="H48" s="2">
        <f t="shared" si="11"/>
      </c>
      <c r="I48" s="627"/>
      <c r="K48" s="12">
        <f t="shared" si="12"/>
      </c>
      <c r="L48" s="12">
        <f t="shared" si="13"/>
      </c>
      <c r="M48" s="11">
        <f t="shared" si="14"/>
      </c>
    </row>
    <row r="49" spans="1:13" ht="12.75">
      <c r="A49" s="13">
        <f t="shared" si="8"/>
      </c>
      <c r="B49" t="e">
        <f>VLOOKUP(H49,OnScaleCalc!$D$85:$E$93,2,FALSE)</f>
        <v>#N/A</v>
      </c>
      <c r="C49" t="e">
        <f t="shared" si="9"/>
        <v>#N/A</v>
      </c>
      <c r="D49" s="2">
        <f t="shared" si="10"/>
      </c>
      <c r="E49" s="52"/>
      <c r="F49" s="52"/>
      <c r="G49" s="616">
        <f t="shared" si="15"/>
      </c>
      <c r="H49" s="2">
        <f t="shared" si="11"/>
      </c>
      <c r="I49" s="627"/>
      <c r="K49" s="12">
        <f t="shared" si="12"/>
      </c>
      <c r="L49" s="12">
        <f t="shared" si="13"/>
      </c>
      <c r="M49" s="11">
        <f t="shared" si="14"/>
      </c>
    </row>
    <row r="50" spans="1:13" ht="12.75">
      <c r="A50" s="13">
        <f t="shared" si="8"/>
      </c>
      <c r="B50" t="e">
        <f>VLOOKUP(H50,OnScaleCalc!$D$85:$E$93,2,FALSE)</f>
        <v>#N/A</v>
      </c>
      <c r="C50" t="e">
        <f t="shared" si="9"/>
        <v>#N/A</v>
      </c>
      <c r="D50" s="2">
        <f t="shared" si="10"/>
      </c>
      <c r="E50" s="52"/>
      <c r="F50" s="52"/>
      <c r="G50" s="616">
        <f t="shared" si="15"/>
      </c>
      <c r="H50" s="2">
        <f t="shared" si="11"/>
      </c>
      <c r="I50" s="627"/>
      <c r="K50" s="12">
        <f t="shared" si="12"/>
      </c>
      <c r="L50" s="12">
        <f t="shared" si="13"/>
      </c>
      <c r="M50" s="11">
        <f t="shared" si="14"/>
      </c>
    </row>
    <row r="51" spans="1:13" ht="12.75">
      <c r="A51" s="13">
        <f t="shared" si="8"/>
      </c>
      <c r="B51" t="e">
        <f>VLOOKUP(H51,OnScaleCalc!$D$85:$E$93,2,FALSE)</f>
        <v>#N/A</v>
      </c>
      <c r="C51" t="e">
        <f t="shared" si="9"/>
        <v>#N/A</v>
      </c>
      <c r="D51" s="2">
        <f t="shared" si="10"/>
      </c>
      <c r="E51" s="52"/>
      <c r="F51" s="52"/>
      <c r="G51" s="616">
        <f t="shared" si="15"/>
      </c>
      <c r="H51" s="2">
        <f t="shared" si="11"/>
      </c>
      <c r="I51" s="627"/>
      <c r="K51" s="12">
        <f t="shared" si="12"/>
      </c>
      <c r="L51" s="12">
        <f t="shared" si="13"/>
      </c>
      <c r="M51" s="11">
        <f t="shared" si="14"/>
      </c>
    </row>
    <row r="52" spans="1:13" ht="12.75">
      <c r="A52" s="13">
        <f t="shared" si="8"/>
      </c>
      <c r="B52" t="e">
        <f>VLOOKUP(H52,OnScaleCalc!$D$85:$E$93,2,FALSE)</f>
        <v>#N/A</v>
      </c>
      <c r="C52" t="e">
        <f t="shared" si="9"/>
        <v>#N/A</v>
      </c>
      <c r="D52" s="2">
        <f t="shared" si="10"/>
      </c>
      <c r="E52" s="52"/>
      <c r="F52" s="52"/>
      <c r="G52" s="616">
        <f t="shared" si="15"/>
      </c>
      <c r="H52" s="2">
        <f t="shared" si="11"/>
      </c>
      <c r="I52" s="627"/>
      <c r="K52" s="12">
        <f t="shared" si="12"/>
      </c>
      <c r="L52" s="12">
        <f t="shared" si="13"/>
      </c>
      <c r="M52" s="11">
        <f t="shared" si="14"/>
      </c>
    </row>
    <row r="53" spans="1:13" s="652" customFormat="1" ht="15.75">
      <c r="A53" s="651"/>
      <c r="D53" s="860">
        <f>IF($I$62=3,"UNFUNDED DIFFERENTIALS","")</f>
      </c>
      <c r="E53" s="860"/>
      <c r="F53" s="860"/>
      <c r="G53" s="860"/>
      <c r="H53" s="860"/>
      <c r="I53" s="860"/>
      <c r="J53" s="860"/>
      <c r="K53" s="860"/>
      <c r="L53" s="653"/>
      <c r="M53" s="654"/>
    </row>
    <row r="54" spans="4:13" s="117" customFormat="1" ht="12.75">
      <c r="D54" s="57">
        <f>IF($I$62=3,D17,"")</f>
      </c>
      <c r="E54" s="57">
        <f aca="true" t="shared" si="16" ref="E54:K54">IF($I$62=3,E17,"")</f>
      </c>
      <c r="F54" s="57">
        <f t="shared" si="16"/>
      </c>
      <c r="G54" s="57">
        <f t="shared" si="16"/>
      </c>
      <c r="H54" s="57">
        <f t="shared" si="16"/>
      </c>
      <c r="I54" s="57">
        <f t="shared" si="16"/>
      </c>
      <c r="J54" s="57">
        <f t="shared" si="16"/>
      </c>
      <c r="K54" s="57">
        <f t="shared" si="16"/>
      </c>
      <c r="L54" s="57"/>
      <c r="M54" s="57"/>
    </row>
    <row r="55" spans="1:13" ht="12.75">
      <c r="A55" s="13" t="s">
        <v>177</v>
      </c>
      <c r="B55" s="49"/>
      <c r="D55" s="2">
        <f>IF(AND(I63&lt;1,$I$62=3),I64,"")</f>
      </c>
      <c r="E55" s="52"/>
      <c r="F55" s="52"/>
      <c r="G55" s="616">
        <f>IF(ISBLANK(M55),"",M55)</f>
      </c>
      <c r="I55" s="627"/>
      <c r="K55" s="12">
        <f>IF($I$62=3,dos1_diff_on,"")</f>
      </c>
      <c r="L55" s="12"/>
      <c r="M55" s="11">
        <f>IF($I$62=3,IF(D55="REG",$F$4-SUMIF($I$64:$L$64,D55,$I$63:$L$63),1-SUMIF($I$64:$L$64,D55,$I$63:$L$63)),"")</f>
      </c>
    </row>
    <row r="56" spans="1:13" ht="12.75">
      <c r="A56" s="13"/>
      <c r="D56" s="2">
        <f>IF(AND($J$63&lt;1,$I$62=3),$J$64,"")</f>
      </c>
      <c r="E56" s="52"/>
      <c r="F56" s="52"/>
      <c r="G56" s="616">
        <f>IF(ISBLANK(M56),"",M56)</f>
      </c>
      <c r="I56" s="627"/>
      <c r="K56" s="12">
        <f>IF($I$62=3,dos2_diff_on,"")</f>
      </c>
      <c r="L56" s="12"/>
      <c r="M56" s="11">
        <f>IF($I$62=3,IF(D56="REG",$F$4-SUMIF($I$64:$L$64,D56,$I$63:$L$63),1-SUMIF($I$64:$L$64,D56,$I$63:$L$63)),"")</f>
      </c>
    </row>
    <row r="57" spans="1:13" ht="12.75">
      <c r="A57" s="13"/>
      <c r="D57" s="2">
        <f>IF(AND($K$63&lt;1,$I$62=3),$K$64,"")</f>
      </c>
      <c r="E57" s="52"/>
      <c r="F57" s="52"/>
      <c r="G57" s="616">
        <f>IF(ISBLANK(M57),"",M57)</f>
      </c>
      <c r="I57" s="627"/>
      <c r="K57" s="12">
        <f>IF($I$62=3,dos3_diff_on,"")</f>
      </c>
      <c r="L57" s="12"/>
      <c r="M57" s="11">
        <f>IF($I$62=3,IF(D57="REG",$F$4-SUMIF($I$64:$L$64,D57,$I$63:$L$63),1-SUMIF($I$64:$L$64,D57,$I$63:$L$63)),"")</f>
      </c>
    </row>
    <row r="58" spans="1:13" ht="12.75">
      <c r="A58" s="13"/>
      <c r="D58" s="2">
        <f>IF(AND($L$63&lt;1,$I$62=3),$L$64,"")</f>
      </c>
      <c r="E58" s="52"/>
      <c r="F58" s="52"/>
      <c r="G58" s="616">
        <f>IF(ISBLANK(M58),"",M58)</f>
      </c>
      <c r="I58" s="627"/>
      <c r="K58" s="12">
        <f>IF($I$62=3,dos4_diff_on,"")</f>
      </c>
      <c r="L58" s="12"/>
      <c r="M58" s="11">
        <f>IF($I$62=3,IF(D58="REG",$F$4-SUMIF($I$64:$L$64,D58,$I$63:$L$63),1-SUMIF($I$64:$L$64,D58,$I$63:$L$63)),"")</f>
      </c>
    </row>
    <row r="59" spans="1:13" ht="15.75">
      <c r="A59" s="13">
        <f>IF((ISBLANK(F101)),"",F101)</f>
      </c>
      <c r="C59">
        <f>IF(OR(B59=3,B59=2),SUMIF($I$64:$L$64,D59,$I$65:$L$65),"")</f>
      </c>
      <c r="D59" s="2"/>
      <c r="E59" s="556"/>
      <c r="F59" s="556"/>
      <c r="G59" s="616"/>
      <c r="K59" s="557"/>
      <c r="L59" s="12">
        <f>IF(A59="","",G101)</f>
      </c>
      <c r="M59" s="11">
        <f>IF(ISERROR(K59/SUMIF($D$18:$D$46,D59,$K$18:$K$46)),"",K59/SUMIF($D$18:$D$46,D59,$K$18:$K$46))</f>
      </c>
    </row>
    <row r="60" spans="7:10" s="5" customFormat="1" ht="12" customHeight="1" hidden="1">
      <c r="G60" s="617">
        <f>IF((ISBLANK(A60)),"",F95)</f>
      </c>
      <c r="H60" s="621">
        <f>IF(A60="","",E95)</f>
      </c>
      <c r="I60" s="621"/>
      <c r="J60" s="621"/>
    </row>
    <row r="61" spans="7:8" ht="12.75" hidden="1">
      <c r="G61" s="616">
        <f>IF((ISBLANK(A61)),"",F96)</f>
      </c>
      <c r="H61" s="2">
        <f>IF(A61="","",E96)</f>
      </c>
    </row>
    <row r="62" spans="8:9" ht="12.75" hidden="1">
      <c r="H62" s="2" t="s">
        <v>180</v>
      </c>
      <c r="I62" s="2">
        <f>cap_option_on</f>
        <v>1</v>
      </c>
    </row>
    <row r="63" spans="9:13" ht="12.75" hidden="1">
      <c r="I63" s="2">
        <f>SUMIF($D$8:$D$52,I64,$G$8:$G$52)</f>
        <v>0</v>
      </c>
      <c r="J63" s="2">
        <f>SUMIF($D$8:$D$52,J64,$G$8:$G$52)</f>
        <v>0</v>
      </c>
      <c r="K63" s="2">
        <f>SUMIF($D$8:$D$52,K64,$G$8:$G$52)</f>
        <v>0</v>
      </c>
      <c r="L63" s="2">
        <f>SUMIF($D$8:$D$52,L64,$G$8:$G$52)</f>
        <v>0</v>
      </c>
      <c r="M63" s="2"/>
    </row>
    <row r="64" spans="4:13" ht="12.75" hidden="1">
      <c r="D64" s="6"/>
      <c r="E64" s="8"/>
      <c r="F64" s="10" t="s">
        <v>121</v>
      </c>
      <c r="G64" s="618"/>
      <c r="H64" s="622"/>
      <c r="I64" s="2" t="str">
        <f>OnScaleCalc!P46</f>
        <v>REG</v>
      </c>
      <c r="J64" s="2" t="str">
        <f>OnScaleCalc!Q46</f>
        <v>HBT</v>
      </c>
      <c r="K64" s="2">
        <f>OnScaleCalc!R46</f>
        <v>0</v>
      </c>
      <c r="L64" s="2" t="str">
        <f>OnScaleCalc!S46</f>
        <v>HBY</v>
      </c>
      <c r="M64" s="2" t="s">
        <v>2</v>
      </c>
    </row>
    <row r="65" spans="4:13" ht="12.75" hidden="1">
      <c r="D65" s="10" t="s">
        <v>116</v>
      </c>
      <c r="E65" s="10" t="s">
        <v>110</v>
      </c>
      <c r="F65" s="6" t="s">
        <v>122</v>
      </c>
      <c r="G65" s="619" t="s">
        <v>123</v>
      </c>
      <c r="H65" s="623" t="s">
        <v>132</v>
      </c>
      <c r="I65" s="650">
        <f>IF($I$62=2,dos1_diff_on,"")</f>
      </c>
      <c r="J65" s="650">
        <f>IF($I$62=2,dos2_diff_on,"")</f>
      </c>
      <c r="K65" s="650">
        <f>IF($I$62=2,dos3_diff_on,"")</f>
      </c>
      <c r="L65" s="650">
        <f>IF($I$62=2,dos4_diff_on,"")</f>
      </c>
      <c r="M65" s="650">
        <f>SUM(I65:L65)</f>
        <v>0</v>
      </c>
    </row>
    <row r="66" spans="3:8" ht="12.75" hidden="1">
      <c r="C66">
        <f>IF(ISBLANK(F66),"",IF(D66="",C65,D66))</f>
      </c>
      <c r="D66" s="594"/>
      <c r="E66" s="599"/>
      <c r="F66" s="595"/>
      <c r="G66" s="628"/>
      <c r="H66" s="629"/>
    </row>
    <row r="67" spans="3:8" ht="12.75" hidden="1">
      <c r="C67">
        <f aca="true" t="shared" si="17" ref="C67:C101">IF(ISBLANK(F67),"",IF(D67="",C66,D67))</f>
      </c>
      <c r="G67"/>
      <c r="H67"/>
    </row>
    <row r="68" spans="3:8" ht="12.75" hidden="1">
      <c r="C68">
        <f t="shared" si="17"/>
      </c>
      <c r="G68"/>
      <c r="H68"/>
    </row>
    <row r="69" spans="3:8" ht="12.75" hidden="1">
      <c r="C69">
        <f t="shared" si="17"/>
      </c>
      <c r="G69"/>
      <c r="H69"/>
    </row>
    <row r="70" spans="3:8" ht="12.75" hidden="1">
      <c r="C70">
        <f t="shared" si="17"/>
      </c>
      <c r="G70"/>
      <c r="H70"/>
    </row>
    <row r="71" spans="3:8" ht="12.75" hidden="1">
      <c r="C71">
        <f t="shared" si="17"/>
      </c>
      <c r="G71"/>
      <c r="H71"/>
    </row>
    <row r="72" spans="3:8" ht="12.75" hidden="1">
      <c r="C72">
        <f t="shared" si="17"/>
      </c>
      <c r="G72"/>
      <c r="H72"/>
    </row>
    <row r="73" spans="3:8" ht="12.75" hidden="1">
      <c r="C73">
        <f t="shared" si="17"/>
      </c>
      <c r="G73"/>
      <c r="H73"/>
    </row>
    <row r="74" spans="3:8" ht="12.75" hidden="1">
      <c r="C74">
        <f t="shared" si="17"/>
      </c>
      <c r="G74"/>
      <c r="H74"/>
    </row>
    <row r="75" spans="3:8" ht="12.75" hidden="1">
      <c r="C75">
        <f t="shared" si="17"/>
      </c>
      <c r="G75"/>
      <c r="H75"/>
    </row>
    <row r="76" spans="3:8" ht="12.75" hidden="1">
      <c r="C76">
        <f t="shared" si="17"/>
      </c>
      <c r="G76"/>
      <c r="H76"/>
    </row>
    <row r="77" spans="3:8" ht="12.75" hidden="1">
      <c r="C77">
        <f t="shared" si="17"/>
      </c>
      <c r="G77"/>
      <c r="H77"/>
    </row>
    <row r="78" spans="3:8" ht="12.75" hidden="1">
      <c r="C78">
        <f t="shared" si="17"/>
      </c>
      <c r="G78"/>
      <c r="H78"/>
    </row>
    <row r="79" spans="3:8" ht="12.75" hidden="1">
      <c r="C79">
        <f t="shared" si="17"/>
      </c>
      <c r="G79"/>
      <c r="H79"/>
    </row>
    <row r="80" spans="3:8" ht="12.75" hidden="1">
      <c r="C80">
        <f t="shared" si="17"/>
      </c>
      <c r="G80"/>
      <c r="H80"/>
    </row>
    <row r="81" spans="3:8" ht="12.75" hidden="1">
      <c r="C81">
        <f t="shared" si="17"/>
      </c>
      <c r="G81"/>
      <c r="H81"/>
    </row>
    <row r="82" spans="3:8" ht="12.75" hidden="1">
      <c r="C82">
        <f t="shared" si="17"/>
      </c>
      <c r="G82"/>
      <c r="H82"/>
    </row>
    <row r="83" spans="3:8" ht="12.75" hidden="1">
      <c r="C83">
        <f t="shared" si="17"/>
      </c>
      <c r="G83"/>
      <c r="H83"/>
    </row>
    <row r="84" spans="3:8" ht="12.75" hidden="1">
      <c r="C84">
        <f t="shared" si="17"/>
      </c>
      <c r="G84"/>
      <c r="H84"/>
    </row>
    <row r="85" spans="3:8" ht="12.75" hidden="1">
      <c r="C85">
        <f t="shared" si="17"/>
      </c>
      <c r="G85"/>
      <c r="H85"/>
    </row>
    <row r="86" spans="3:8" ht="12.75" hidden="1">
      <c r="C86">
        <f t="shared" si="17"/>
      </c>
      <c r="G86"/>
      <c r="H86"/>
    </row>
    <row r="87" spans="3:8" ht="12.75" hidden="1">
      <c r="C87">
        <f t="shared" si="17"/>
      </c>
      <c r="G87"/>
      <c r="H87"/>
    </row>
    <row r="88" spans="3:8" ht="12.75" hidden="1">
      <c r="C88">
        <f t="shared" si="17"/>
      </c>
      <c r="G88"/>
      <c r="H88"/>
    </row>
    <row r="89" spans="3:8" ht="12.75" hidden="1">
      <c r="C89">
        <f t="shared" si="17"/>
      </c>
      <c r="G89"/>
      <c r="H89"/>
    </row>
    <row r="90" spans="3:8" ht="12.75" hidden="1">
      <c r="C90">
        <f t="shared" si="17"/>
      </c>
      <c r="G90"/>
      <c r="H90"/>
    </row>
    <row r="91" ht="12.75" hidden="1">
      <c r="C91">
        <f t="shared" si="17"/>
      </c>
    </row>
    <row r="92" ht="12.75" hidden="1">
      <c r="C92">
        <f t="shared" si="17"/>
      </c>
    </row>
    <row r="93" ht="12.75" hidden="1">
      <c r="C93">
        <f t="shared" si="17"/>
      </c>
    </row>
    <row r="94" ht="12.75" hidden="1">
      <c r="C94">
        <f t="shared" si="17"/>
      </c>
    </row>
    <row r="95" ht="12.75" hidden="1">
      <c r="C95">
        <f t="shared" si="17"/>
      </c>
    </row>
    <row r="96" ht="12.75" hidden="1">
      <c r="C96">
        <f t="shared" si="17"/>
      </c>
    </row>
    <row r="97" ht="12.75" hidden="1">
      <c r="C97">
        <f t="shared" si="17"/>
      </c>
    </row>
    <row r="98" ht="12.75" hidden="1">
      <c r="C98">
        <f t="shared" si="17"/>
      </c>
    </row>
    <row r="99" ht="12.75" hidden="1">
      <c r="C99">
        <f t="shared" si="17"/>
      </c>
    </row>
    <row r="100" ht="12.75" hidden="1">
      <c r="C100">
        <f t="shared" si="17"/>
      </c>
    </row>
    <row r="101" ht="12.75" hidden="1">
      <c r="C101">
        <f t="shared" si="17"/>
      </c>
    </row>
    <row r="102" spans="4:8" ht="12.75" hidden="1">
      <c r="D102" s="6"/>
      <c r="E102" s="8"/>
      <c r="F102" s="10" t="s">
        <v>121</v>
      </c>
      <c r="G102" s="618"/>
      <c r="H102" s="622"/>
    </row>
    <row r="103" spans="4:8" ht="12.75" hidden="1">
      <c r="D103" s="10" t="s">
        <v>116</v>
      </c>
      <c r="E103" s="10" t="s">
        <v>110</v>
      </c>
      <c r="F103" s="6" t="s">
        <v>122</v>
      </c>
      <c r="G103" s="619" t="s">
        <v>123</v>
      </c>
      <c r="H103" s="623" t="s">
        <v>132</v>
      </c>
    </row>
    <row r="104" spans="3:8" ht="12.75" hidden="1">
      <c r="C104">
        <f aca="true" t="shared" si="18" ref="C104:C117">IF(ISBLANK(F104),"",IF(D104="",C103,D104))</f>
      </c>
      <c r="D104" s="594"/>
      <c r="E104" s="599"/>
      <c r="F104" s="595"/>
      <c r="G104" s="628"/>
      <c r="H104" s="629"/>
    </row>
    <row r="105" spans="3:8" ht="12.75" hidden="1">
      <c r="C105">
        <f t="shared" si="18"/>
      </c>
      <c r="G105"/>
      <c r="H105"/>
    </row>
    <row r="106" spans="3:8" ht="12.75" hidden="1">
      <c r="C106">
        <f t="shared" si="18"/>
      </c>
      <c r="G106"/>
      <c r="H106"/>
    </row>
    <row r="107" spans="3:8" ht="12.75" hidden="1">
      <c r="C107">
        <f t="shared" si="18"/>
      </c>
      <c r="G107"/>
      <c r="H107"/>
    </row>
    <row r="108" spans="3:8" ht="12.75" hidden="1">
      <c r="C108">
        <f t="shared" si="18"/>
      </c>
      <c r="G108"/>
      <c r="H108"/>
    </row>
    <row r="109" spans="3:8" ht="12.75" hidden="1">
      <c r="C109">
        <f t="shared" si="18"/>
      </c>
      <c r="G109"/>
      <c r="H109"/>
    </row>
    <row r="110" spans="3:8" ht="12.75" hidden="1">
      <c r="C110">
        <f t="shared" si="18"/>
      </c>
      <c r="G110"/>
      <c r="H110"/>
    </row>
    <row r="111" spans="3:8" ht="12.75" hidden="1">
      <c r="C111">
        <f t="shared" si="18"/>
      </c>
      <c r="G111"/>
      <c r="H111"/>
    </row>
    <row r="112" ht="12.75" hidden="1">
      <c r="C112">
        <f t="shared" si="18"/>
      </c>
    </row>
    <row r="113" ht="12.75" hidden="1">
      <c r="C113">
        <f t="shared" si="18"/>
      </c>
    </row>
    <row r="114" ht="12.75" hidden="1">
      <c r="C114">
        <f t="shared" si="18"/>
      </c>
    </row>
    <row r="115" ht="12.75" hidden="1">
      <c r="C115">
        <f t="shared" si="18"/>
      </c>
    </row>
    <row r="116" ht="12.75" hidden="1">
      <c r="C116">
        <f t="shared" si="18"/>
      </c>
    </row>
    <row r="117" ht="12.75" hidden="1">
      <c r="C117">
        <f t="shared" si="18"/>
      </c>
    </row>
    <row r="118" ht="12.75" hidden="1"/>
    <row r="119" ht="12.75" hidden="1"/>
  </sheetData>
  <sheetProtection/>
  <mergeCells count="1">
    <mergeCell ref="D53:K53"/>
  </mergeCells>
  <printOptions/>
  <pageMargins left="0.75" right="0.75" top="1" bottom="1" header="0.5" footer="0.5"/>
  <pageSetup fitToHeight="1" fitToWidth="1" horizontalDpi="600" verticalDpi="600" orientation="portrait" scale="82" r:id="rId1"/>
</worksheet>
</file>

<file path=xl/worksheets/sheet10.xml><?xml version="1.0" encoding="utf-8"?>
<worksheet xmlns="http://schemas.openxmlformats.org/spreadsheetml/2006/main" xmlns:r="http://schemas.openxmlformats.org/officeDocument/2006/relationships">
  <sheetPr codeName="Sheet8">
    <tabColor rgb="FFFF0000"/>
  </sheetPr>
  <dimension ref="A2:AA104"/>
  <sheetViews>
    <sheetView showGridLines="0" zoomScale="75" zoomScaleNormal="75" zoomScalePageLayoutView="0" workbookViewId="0" topLeftCell="F35">
      <selection activeCell="AB83" sqref="AB83"/>
    </sheetView>
  </sheetViews>
  <sheetFormatPr defaultColWidth="9.140625" defaultRowHeight="12.75"/>
  <cols>
    <col min="1" max="1" width="12.57421875" style="115" customWidth="1"/>
    <col min="2" max="2" width="5.7109375" style="115" customWidth="1"/>
    <col min="3" max="3" width="9.8515625" style="115" customWidth="1"/>
    <col min="4" max="4" width="9.28125" style="115" customWidth="1"/>
    <col min="5" max="5" width="8.57421875" style="115" customWidth="1"/>
    <col min="6" max="6" width="10.28125" style="115" customWidth="1"/>
    <col min="7" max="7" width="8.57421875" style="115" customWidth="1"/>
    <col min="8" max="8" width="10.8515625" style="115" customWidth="1"/>
    <col min="9" max="9" width="8.57421875" style="115" customWidth="1"/>
    <col min="10" max="11" width="9.28125" style="115" bestFit="1" customWidth="1"/>
    <col min="12" max="12" width="9.57421875" style="115" bestFit="1" customWidth="1"/>
    <col min="13" max="14" width="9.28125" style="115" bestFit="1" customWidth="1"/>
    <col min="15" max="15" width="9.57421875" style="115" bestFit="1" customWidth="1"/>
    <col min="16" max="27" width="9.28125" style="115" bestFit="1" customWidth="1"/>
    <col min="28" max="28" width="34.421875" style="115" customWidth="1"/>
    <col min="29" max="45" width="9.28125" style="115" bestFit="1" customWidth="1"/>
    <col min="46" max="16384" width="9.140625" style="115" customWidth="1"/>
  </cols>
  <sheetData>
    <row r="1" ht="15.75" thickBot="1"/>
    <row r="2" spans="1:27" ht="15">
      <c r="A2" s="743"/>
      <c r="B2" s="735" t="s">
        <v>65</v>
      </c>
      <c r="C2" s="739"/>
      <c r="D2" s="740" t="s">
        <v>34</v>
      </c>
      <c r="E2" s="741"/>
      <c r="F2" s="740" t="s">
        <v>35</v>
      </c>
      <c r="G2" s="741"/>
      <c r="H2" s="740" t="s">
        <v>36</v>
      </c>
      <c r="I2" s="741"/>
      <c r="J2" s="740" t="s">
        <v>37</v>
      </c>
      <c r="K2" s="742"/>
      <c r="L2" s="741"/>
      <c r="M2" s="740" t="s">
        <v>38</v>
      </c>
      <c r="N2" s="742"/>
      <c r="O2" s="741"/>
      <c r="P2" s="740"/>
      <c r="Q2" s="742" t="s">
        <v>39</v>
      </c>
      <c r="R2" s="741"/>
      <c r="S2" s="740"/>
      <c r="T2" s="742" t="s">
        <v>40</v>
      </c>
      <c r="U2" s="741"/>
      <c r="V2" s="734"/>
      <c r="W2" s="742" t="s">
        <v>63</v>
      </c>
      <c r="X2" s="741"/>
      <c r="Y2" s="755"/>
      <c r="Z2" s="742" t="s">
        <v>64</v>
      </c>
      <c r="AA2" s="741"/>
    </row>
    <row r="3" spans="1:27" ht="39" thickBot="1">
      <c r="A3" s="744" t="s">
        <v>41</v>
      </c>
      <c r="B3" s="756" t="s">
        <v>42</v>
      </c>
      <c r="C3" s="757" t="s">
        <v>43</v>
      </c>
      <c r="D3" s="758" t="s">
        <v>34</v>
      </c>
      <c r="E3" s="759" t="s">
        <v>191</v>
      </c>
      <c r="F3" s="758" t="s">
        <v>35</v>
      </c>
      <c r="G3" s="759" t="s">
        <v>192</v>
      </c>
      <c r="H3" s="758" t="s">
        <v>36</v>
      </c>
      <c r="I3" s="759" t="s">
        <v>193</v>
      </c>
      <c r="J3" s="758" t="s">
        <v>37</v>
      </c>
      <c r="K3" s="761" t="s">
        <v>193</v>
      </c>
      <c r="L3" s="760" t="s">
        <v>194</v>
      </c>
      <c r="M3" s="758" t="s">
        <v>38</v>
      </c>
      <c r="N3" s="761" t="s">
        <v>193</v>
      </c>
      <c r="O3" s="760" t="s">
        <v>195</v>
      </c>
      <c r="P3" s="758" t="s">
        <v>39</v>
      </c>
      <c r="Q3" s="761" t="s">
        <v>193</v>
      </c>
      <c r="R3" s="760" t="s">
        <v>196</v>
      </c>
      <c r="S3" s="758" t="s">
        <v>40</v>
      </c>
      <c r="T3" s="761" t="s">
        <v>193</v>
      </c>
      <c r="U3" s="760" t="s">
        <v>197</v>
      </c>
      <c r="V3" s="758" t="s">
        <v>63</v>
      </c>
      <c r="W3" s="761" t="s">
        <v>193</v>
      </c>
      <c r="X3" s="760" t="s">
        <v>198</v>
      </c>
      <c r="Y3" s="758" t="s">
        <v>64</v>
      </c>
      <c r="Z3" s="761" t="s">
        <v>193</v>
      </c>
      <c r="AA3" s="760" t="s">
        <v>199</v>
      </c>
    </row>
    <row r="4" spans="1:27" ht="15.75" thickBot="1">
      <c r="A4" s="745" t="s">
        <v>12</v>
      </c>
      <c r="B4" s="751" t="s">
        <v>51</v>
      </c>
      <c r="C4" s="749">
        <v>58500</v>
      </c>
      <c r="D4" s="765">
        <v>64400</v>
      </c>
      <c r="E4" s="762">
        <v>5900</v>
      </c>
      <c r="F4" s="765">
        <v>70200</v>
      </c>
      <c r="G4" s="762">
        <v>11700</v>
      </c>
      <c r="H4" s="765">
        <v>76100</v>
      </c>
      <c r="I4" s="762">
        <v>17600</v>
      </c>
      <c r="J4" s="765">
        <v>81900</v>
      </c>
      <c r="K4" s="763">
        <v>17600</v>
      </c>
      <c r="L4" s="750">
        <v>5800</v>
      </c>
      <c r="M4" s="765">
        <v>87800</v>
      </c>
      <c r="N4" s="763">
        <v>17600</v>
      </c>
      <c r="O4" s="750">
        <v>11700</v>
      </c>
      <c r="P4" s="765">
        <v>96500</v>
      </c>
      <c r="Q4" s="763">
        <v>17600</v>
      </c>
      <c r="R4" s="750">
        <v>20400</v>
      </c>
      <c r="S4" s="765">
        <v>105300</v>
      </c>
      <c r="T4" s="763">
        <v>17600</v>
      </c>
      <c r="U4" s="750">
        <v>29200</v>
      </c>
      <c r="V4" s="765">
        <v>117000</v>
      </c>
      <c r="W4" s="763">
        <v>17600</v>
      </c>
      <c r="X4" s="750">
        <v>40900</v>
      </c>
      <c r="Y4" s="765">
        <v>131600</v>
      </c>
      <c r="Z4" s="763">
        <v>17600</v>
      </c>
      <c r="AA4" s="750">
        <v>55500</v>
      </c>
    </row>
    <row r="5" spans="1:27" ht="15">
      <c r="A5" s="746" t="s">
        <v>13</v>
      </c>
      <c r="B5" s="736">
        <v>1</v>
      </c>
      <c r="C5" s="765">
        <v>67800</v>
      </c>
      <c r="D5" s="769">
        <v>74600</v>
      </c>
      <c r="E5" s="765">
        <v>6800</v>
      </c>
      <c r="F5" s="769">
        <v>81400</v>
      </c>
      <c r="G5" s="765">
        <v>13600</v>
      </c>
      <c r="H5" s="769">
        <v>88100</v>
      </c>
      <c r="I5" s="765">
        <v>20300</v>
      </c>
      <c r="J5" s="770">
        <v>94900</v>
      </c>
      <c r="K5" s="772">
        <v>20300</v>
      </c>
      <c r="L5" s="771">
        <v>6800</v>
      </c>
      <c r="M5" s="770">
        <v>101700</v>
      </c>
      <c r="N5" s="772">
        <v>20300</v>
      </c>
      <c r="O5" s="771">
        <v>13600</v>
      </c>
      <c r="P5" s="770">
        <v>111900</v>
      </c>
      <c r="Q5" s="772">
        <v>20300</v>
      </c>
      <c r="R5" s="771">
        <v>23800</v>
      </c>
      <c r="S5" s="770">
        <v>122000</v>
      </c>
      <c r="T5" s="772">
        <v>20300</v>
      </c>
      <c r="U5" s="771">
        <v>33900</v>
      </c>
      <c r="V5" s="770">
        <v>135600</v>
      </c>
      <c r="W5" s="772">
        <v>20300</v>
      </c>
      <c r="X5" s="771">
        <v>47500</v>
      </c>
      <c r="Y5" s="770">
        <v>152600</v>
      </c>
      <c r="Z5" s="772">
        <v>20300</v>
      </c>
      <c r="AA5" s="771">
        <v>64500</v>
      </c>
    </row>
    <row r="6" spans="1:27" ht="15">
      <c r="A6" s="747"/>
      <c r="B6" s="737">
        <v>2</v>
      </c>
      <c r="C6" s="766">
        <v>71900</v>
      </c>
      <c r="D6" s="773">
        <v>79100</v>
      </c>
      <c r="E6" s="766">
        <v>7200</v>
      </c>
      <c r="F6" s="773">
        <v>86300</v>
      </c>
      <c r="G6" s="766">
        <v>14400</v>
      </c>
      <c r="H6" s="773">
        <v>93500</v>
      </c>
      <c r="I6" s="766">
        <v>21600</v>
      </c>
      <c r="J6" s="774">
        <v>100700</v>
      </c>
      <c r="K6" s="775">
        <v>21600</v>
      </c>
      <c r="L6" s="776">
        <v>7200</v>
      </c>
      <c r="M6" s="774">
        <v>107900</v>
      </c>
      <c r="N6" s="775">
        <v>21600</v>
      </c>
      <c r="O6" s="776">
        <v>14400</v>
      </c>
      <c r="P6" s="774">
        <v>118600</v>
      </c>
      <c r="Q6" s="775">
        <v>21600</v>
      </c>
      <c r="R6" s="776">
        <v>25100</v>
      </c>
      <c r="S6" s="774">
        <v>129400</v>
      </c>
      <c r="T6" s="775">
        <v>21600</v>
      </c>
      <c r="U6" s="776">
        <v>35900</v>
      </c>
      <c r="V6" s="774">
        <v>143800</v>
      </c>
      <c r="W6" s="775">
        <v>21600</v>
      </c>
      <c r="X6" s="776">
        <v>50300</v>
      </c>
      <c r="Y6" s="774">
        <v>161800</v>
      </c>
      <c r="Z6" s="775">
        <v>21600</v>
      </c>
      <c r="AA6" s="776">
        <v>68300</v>
      </c>
    </row>
    <row r="7" spans="1:27" ht="15">
      <c r="A7" s="747"/>
      <c r="B7" s="737">
        <v>2.5</v>
      </c>
      <c r="C7" s="766">
        <v>73900</v>
      </c>
      <c r="D7" s="773">
        <v>81300</v>
      </c>
      <c r="E7" s="766">
        <v>7400</v>
      </c>
      <c r="F7" s="773">
        <v>88700</v>
      </c>
      <c r="G7" s="766">
        <v>14800</v>
      </c>
      <c r="H7" s="773">
        <v>96000</v>
      </c>
      <c r="I7" s="766">
        <v>22100</v>
      </c>
      <c r="J7" s="774">
        <v>103400</v>
      </c>
      <c r="K7" s="775">
        <v>22100</v>
      </c>
      <c r="L7" s="776">
        <v>7400</v>
      </c>
      <c r="M7" s="774">
        <v>110800</v>
      </c>
      <c r="N7" s="775">
        <v>22100</v>
      </c>
      <c r="O7" s="776">
        <v>14800</v>
      </c>
      <c r="P7" s="774">
        <v>121900</v>
      </c>
      <c r="Q7" s="775">
        <v>22100</v>
      </c>
      <c r="R7" s="776">
        <v>25900</v>
      </c>
      <c r="S7" s="774">
        <v>132900</v>
      </c>
      <c r="T7" s="775">
        <v>22100</v>
      </c>
      <c r="U7" s="776">
        <v>36900</v>
      </c>
      <c r="V7" s="774">
        <v>147700</v>
      </c>
      <c r="W7" s="775">
        <v>22100</v>
      </c>
      <c r="X7" s="776">
        <v>51700</v>
      </c>
      <c r="Y7" s="774">
        <v>166200</v>
      </c>
      <c r="Z7" s="775">
        <v>22100</v>
      </c>
      <c r="AA7" s="776">
        <v>70200</v>
      </c>
    </row>
    <row r="8" spans="1:27" ht="15">
      <c r="A8" s="747"/>
      <c r="B8" s="737">
        <v>3</v>
      </c>
      <c r="C8" s="766">
        <v>75800</v>
      </c>
      <c r="D8" s="773">
        <v>83400</v>
      </c>
      <c r="E8" s="766">
        <v>7600</v>
      </c>
      <c r="F8" s="773">
        <v>91000</v>
      </c>
      <c r="G8" s="766">
        <v>15200</v>
      </c>
      <c r="H8" s="773">
        <v>98500</v>
      </c>
      <c r="I8" s="766">
        <v>22700</v>
      </c>
      <c r="J8" s="774">
        <v>106100</v>
      </c>
      <c r="K8" s="775">
        <v>22700</v>
      </c>
      <c r="L8" s="776">
        <v>7600</v>
      </c>
      <c r="M8" s="774">
        <v>113700</v>
      </c>
      <c r="N8" s="775">
        <v>22700</v>
      </c>
      <c r="O8" s="776">
        <v>15200</v>
      </c>
      <c r="P8" s="774">
        <v>125100</v>
      </c>
      <c r="Q8" s="775">
        <v>22700</v>
      </c>
      <c r="R8" s="776">
        <v>26600</v>
      </c>
      <c r="S8" s="774">
        <v>136400</v>
      </c>
      <c r="T8" s="775">
        <v>22700</v>
      </c>
      <c r="U8" s="776">
        <v>37900</v>
      </c>
      <c r="V8" s="774">
        <v>151600</v>
      </c>
      <c r="W8" s="775">
        <v>22700</v>
      </c>
      <c r="X8" s="776">
        <v>53100</v>
      </c>
      <c r="Y8" s="774">
        <v>170600</v>
      </c>
      <c r="Z8" s="775">
        <v>22700</v>
      </c>
      <c r="AA8" s="776">
        <v>72100</v>
      </c>
    </row>
    <row r="9" spans="1:27" ht="15">
      <c r="A9" s="747"/>
      <c r="B9" s="737">
        <v>3.5</v>
      </c>
      <c r="C9" s="766">
        <v>78000</v>
      </c>
      <c r="D9" s="773">
        <v>85800</v>
      </c>
      <c r="E9" s="766">
        <v>7800</v>
      </c>
      <c r="F9" s="773">
        <v>93600</v>
      </c>
      <c r="G9" s="766">
        <v>15600</v>
      </c>
      <c r="H9" s="773">
        <v>101400</v>
      </c>
      <c r="I9" s="766">
        <v>23400</v>
      </c>
      <c r="J9" s="774">
        <v>109200</v>
      </c>
      <c r="K9" s="775">
        <v>23400</v>
      </c>
      <c r="L9" s="776">
        <v>7800</v>
      </c>
      <c r="M9" s="774">
        <v>117000</v>
      </c>
      <c r="N9" s="775">
        <v>23400</v>
      </c>
      <c r="O9" s="776">
        <v>15600</v>
      </c>
      <c r="P9" s="774">
        <v>128700</v>
      </c>
      <c r="Q9" s="775">
        <v>23400</v>
      </c>
      <c r="R9" s="776">
        <v>27300</v>
      </c>
      <c r="S9" s="774">
        <v>140400</v>
      </c>
      <c r="T9" s="775">
        <v>23400</v>
      </c>
      <c r="U9" s="776">
        <v>39000</v>
      </c>
      <c r="V9" s="774">
        <v>156000</v>
      </c>
      <c r="W9" s="775">
        <v>23400</v>
      </c>
      <c r="X9" s="776">
        <v>54600</v>
      </c>
      <c r="Y9" s="774">
        <v>175600</v>
      </c>
      <c r="Z9" s="775">
        <v>23400</v>
      </c>
      <c r="AA9" s="776">
        <v>74200</v>
      </c>
    </row>
    <row r="10" spans="1:27" ht="15">
      <c r="A10" s="747"/>
      <c r="B10" s="737">
        <v>4</v>
      </c>
      <c r="C10" s="766">
        <v>80200</v>
      </c>
      <c r="D10" s="773">
        <v>88200</v>
      </c>
      <c r="E10" s="766">
        <v>8000</v>
      </c>
      <c r="F10" s="773">
        <v>96200</v>
      </c>
      <c r="G10" s="766">
        <v>16000</v>
      </c>
      <c r="H10" s="773">
        <v>104300</v>
      </c>
      <c r="I10" s="766">
        <v>24100</v>
      </c>
      <c r="J10" s="774">
        <v>112300</v>
      </c>
      <c r="K10" s="775">
        <v>24100</v>
      </c>
      <c r="L10" s="776">
        <v>8000</v>
      </c>
      <c r="M10" s="774">
        <v>120300</v>
      </c>
      <c r="N10" s="775">
        <v>24100</v>
      </c>
      <c r="O10" s="776">
        <v>16000</v>
      </c>
      <c r="P10" s="774">
        <v>132300</v>
      </c>
      <c r="Q10" s="775">
        <v>24100</v>
      </c>
      <c r="R10" s="776">
        <v>28000</v>
      </c>
      <c r="S10" s="774">
        <v>144400</v>
      </c>
      <c r="T10" s="775">
        <v>24100</v>
      </c>
      <c r="U10" s="776">
        <v>40100</v>
      </c>
      <c r="V10" s="774">
        <v>160400</v>
      </c>
      <c r="W10" s="775">
        <v>24100</v>
      </c>
      <c r="X10" s="776">
        <v>56100</v>
      </c>
      <c r="Y10" s="774">
        <v>180500</v>
      </c>
      <c r="Z10" s="775">
        <v>24100</v>
      </c>
      <c r="AA10" s="776">
        <v>76200</v>
      </c>
    </row>
    <row r="11" spans="1:27" ht="15">
      <c r="A11" s="747"/>
      <c r="B11" s="737">
        <v>4.5</v>
      </c>
      <c r="C11" s="766">
        <v>82200</v>
      </c>
      <c r="D11" s="773">
        <v>90400</v>
      </c>
      <c r="E11" s="766">
        <v>8200</v>
      </c>
      <c r="F11" s="773">
        <v>98600</v>
      </c>
      <c r="G11" s="766">
        <v>16400</v>
      </c>
      <c r="H11" s="773">
        <v>106800</v>
      </c>
      <c r="I11" s="766">
        <v>24600</v>
      </c>
      <c r="J11" s="774">
        <v>115000</v>
      </c>
      <c r="K11" s="775">
        <v>24600</v>
      </c>
      <c r="L11" s="776">
        <v>8200</v>
      </c>
      <c r="M11" s="774">
        <v>123300</v>
      </c>
      <c r="N11" s="775">
        <v>24600</v>
      </c>
      <c r="O11" s="776">
        <v>16500</v>
      </c>
      <c r="P11" s="774">
        <v>135600</v>
      </c>
      <c r="Q11" s="775">
        <v>24600</v>
      </c>
      <c r="R11" s="776">
        <v>28800</v>
      </c>
      <c r="S11" s="774">
        <v>147900</v>
      </c>
      <c r="T11" s="775">
        <v>24600</v>
      </c>
      <c r="U11" s="776">
        <v>41100</v>
      </c>
      <c r="V11" s="774">
        <v>164300</v>
      </c>
      <c r="W11" s="775">
        <v>24600</v>
      </c>
      <c r="X11" s="776">
        <v>57500</v>
      </c>
      <c r="Y11" s="774">
        <v>184900</v>
      </c>
      <c r="Z11" s="775">
        <v>24600</v>
      </c>
      <c r="AA11" s="776">
        <v>78100</v>
      </c>
    </row>
    <row r="12" spans="1:27" ht="15">
      <c r="A12" s="747"/>
      <c r="B12" s="737">
        <v>5</v>
      </c>
      <c r="C12" s="766">
        <v>84100</v>
      </c>
      <c r="D12" s="773">
        <v>92500</v>
      </c>
      <c r="E12" s="766">
        <v>8400</v>
      </c>
      <c r="F12" s="773">
        <v>100900</v>
      </c>
      <c r="G12" s="766">
        <v>16800</v>
      </c>
      <c r="H12" s="773">
        <v>109300</v>
      </c>
      <c r="I12" s="766">
        <v>25200</v>
      </c>
      <c r="J12" s="774">
        <v>117700</v>
      </c>
      <c r="K12" s="775">
        <v>25200</v>
      </c>
      <c r="L12" s="776">
        <v>8400</v>
      </c>
      <c r="M12" s="774">
        <v>126200</v>
      </c>
      <c r="N12" s="775">
        <v>25200</v>
      </c>
      <c r="O12" s="776">
        <v>16900</v>
      </c>
      <c r="P12" s="774">
        <v>138800</v>
      </c>
      <c r="Q12" s="775">
        <v>25200</v>
      </c>
      <c r="R12" s="776">
        <v>29500</v>
      </c>
      <c r="S12" s="774">
        <v>151400</v>
      </c>
      <c r="T12" s="775">
        <v>25200</v>
      </c>
      <c r="U12" s="776">
        <v>42100</v>
      </c>
      <c r="V12" s="774">
        <v>168200</v>
      </c>
      <c r="W12" s="775">
        <v>25200</v>
      </c>
      <c r="X12" s="776">
        <v>58900</v>
      </c>
      <c r="Y12" s="774">
        <v>189200</v>
      </c>
      <c r="Z12" s="775">
        <v>25200</v>
      </c>
      <c r="AA12" s="776">
        <v>79900</v>
      </c>
    </row>
    <row r="13" spans="1:27" ht="15">
      <c r="A13" s="747"/>
      <c r="B13" s="754">
        <v>5.5</v>
      </c>
      <c r="C13" s="767">
        <v>86200</v>
      </c>
      <c r="D13" s="773">
        <v>94800</v>
      </c>
      <c r="E13" s="767">
        <v>8600</v>
      </c>
      <c r="F13" s="777">
        <v>103400</v>
      </c>
      <c r="G13" s="767">
        <v>17200</v>
      </c>
      <c r="H13" s="773">
        <v>112000</v>
      </c>
      <c r="I13" s="767">
        <v>25800</v>
      </c>
      <c r="J13" s="774">
        <v>120600</v>
      </c>
      <c r="K13" s="778">
        <v>25800</v>
      </c>
      <c r="L13" s="779">
        <v>8600</v>
      </c>
      <c r="M13" s="774">
        <v>129300</v>
      </c>
      <c r="N13" s="778">
        <v>25800</v>
      </c>
      <c r="O13" s="779">
        <v>17300</v>
      </c>
      <c r="P13" s="774">
        <v>142200</v>
      </c>
      <c r="Q13" s="778">
        <v>25800</v>
      </c>
      <c r="R13" s="779">
        <v>30200</v>
      </c>
      <c r="S13" s="774">
        <v>155100</v>
      </c>
      <c r="T13" s="778">
        <v>25800</v>
      </c>
      <c r="U13" s="779">
        <v>43100</v>
      </c>
      <c r="V13" s="774">
        <v>172300</v>
      </c>
      <c r="W13" s="778">
        <v>25800</v>
      </c>
      <c r="X13" s="779">
        <v>60300</v>
      </c>
      <c r="Y13" s="774">
        <v>193900</v>
      </c>
      <c r="Z13" s="778">
        <v>25800</v>
      </c>
      <c r="AA13" s="779">
        <v>81900</v>
      </c>
    </row>
    <row r="14" spans="1:27" ht="15">
      <c r="A14" s="747"/>
      <c r="B14" s="754">
        <v>6</v>
      </c>
      <c r="C14" s="767">
        <v>88200</v>
      </c>
      <c r="D14" s="773">
        <v>97000</v>
      </c>
      <c r="E14" s="767">
        <v>8800</v>
      </c>
      <c r="F14" s="777">
        <v>105800</v>
      </c>
      <c r="G14" s="767">
        <v>17600</v>
      </c>
      <c r="H14" s="777">
        <v>114700</v>
      </c>
      <c r="I14" s="767">
        <v>26500</v>
      </c>
      <c r="J14" s="774">
        <v>123500</v>
      </c>
      <c r="K14" s="778">
        <v>26500</v>
      </c>
      <c r="L14" s="779">
        <v>8800</v>
      </c>
      <c r="M14" s="774">
        <v>132300</v>
      </c>
      <c r="N14" s="778">
        <v>26500</v>
      </c>
      <c r="O14" s="779">
        <v>17600</v>
      </c>
      <c r="P14" s="774">
        <v>145500</v>
      </c>
      <c r="Q14" s="778">
        <v>26500</v>
      </c>
      <c r="R14" s="779">
        <v>30800</v>
      </c>
      <c r="S14" s="774">
        <v>158800</v>
      </c>
      <c r="T14" s="778">
        <v>26500</v>
      </c>
      <c r="U14" s="779">
        <v>44100</v>
      </c>
      <c r="V14" s="774">
        <v>176400</v>
      </c>
      <c r="W14" s="778">
        <v>26500</v>
      </c>
      <c r="X14" s="779">
        <v>61700</v>
      </c>
      <c r="Y14" s="774">
        <v>198500</v>
      </c>
      <c r="Z14" s="778">
        <v>26500</v>
      </c>
      <c r="AA14" s="779">
        <v>83800</v>
      </c>
    </row>
    <row r="15" spans="1:27" ht="15.75" thickBot="1">
      <c r="A15" s="748"/>
      <c r="B15" s="738">
        <v>6.5</v>
      </c>
      <c r="C15" s="768">
        <v>90700</v>
      </c>
      <c r="D15" s="773">
        <v>99800</v>
      </c>
      <c r="E15" s="768">
        <v>9100</v>
      </c>
      <c r="F15" s="780">
        <v>108800</v>
      </c>
      <c r="G15" s="768">
        <v>18100</v>
      </c>
      <c r="H15" s="780">
        <v>118000</v>
      </c>
      <c r="I15" s="768">
        <v>27300</v>
      </c>
      <c r="J15" s="774">
        <v>127000</v>
      </c>
      <c r="K15" s="781">
        <v>27300</v>
      </c>
      <c r="L15" s="782">
        <v>9000</v>
      </c>
      <c r="M15" s="774">
        <v>136100</v>
      </c>
      <c r="N15" s="781">
        <v>27300</v>
      </c>
      <c r="O15" s="782">
        <v>18100</v>
      </c>
      <c r="P15" s="774">
        <v>149700</v>
      </c>
      <c r="Q15" s="781">
        <v>27300</v>
      </c>
      <c r="R15" s="782">
        <v>31700</v>
      </c>
      <c r="S15" s="774">
        <v>163300</v>
      </c>
      <c r="T15" s="781">
        <v>27300</v>
      </c>
      <c r="U15" s="782">
        <v>45300</v>
      </c>
      <c r="V15" s="774">
        <v>181400</v>
      </c>
      <c r="W15" s="781">
        <v>27300</v>
      </c>
      <c r="X15" s="782">
        <v>63400</v>
      </c>
      <c r="Y15" s="774">
        <v>204100</v>
      </c>
      <c r="Z15" s="781">
        <v>27300</v>
      </c>
      <c r="AA15" s="782">
        <v>86100</v>
      </c>
    </row>
    <row r="16" spans="1:27" ht="15.75" thickBot="1">
      <c r="A16" s="746" t="s">
        <v>14</v>
      </c>
      <c r="B16" s="736">
        <v>1</v>
      </c>
      <c r="C16" s="765">
        <v>84200</v>
      </c>
      <c r="D16" s="769">
        <v>92600</v>
      </c>
      <c r="E16" s="765">
        <v>8400</v>
      </c>
      <c r="F16" s="769">
        <v>101000</v>
      </c>
      <c r="G16" s="765">
        <v>16800</v>
      </c>
      <c r="H16" s="769">
        <v>109500</v>
      </c>
      <c r="I16" s="765">
        <v>25300</v>
      </c>
      <c r="J16" s="770">
        <v>117900</v>
      </c>
      <c r="K16" s="772">
        <v>25300</v>
      </c>
      <c r="L16" s="771">
        <v>8400</v>
      </c>
      <c r="M16" s="770">
        <v>126300</v>
      </c>
      <c r="N16" s="772">
        <v>25300</v>
      </c>
      <c r="O16" s="771">
        <v>16800</v>
      </c>
      <c r="P16" s="770">
        <v>138900</v>
      </c>
      <c r="Q16" s="772">
        <v>25300</v>
      </c>
      <c r="R16" s="771">
        <v>29400</v>
      </c>
      <c r="S16" s="770">
        <v>151600</v>
      </c>
      <c r="T16" s="772">
        <v>25300</v>
      </c>
      <c r="U16" s="771">
        <v>42100</v>
      </c>
      <c r="V16" s="770">
        <v>168400</v>
      </c>
      <c r="W16" s="772">
        <v>25300</v>
      </c>
      <c r="X16" s="771">
        <v>58900</v>
      </c>
      <c r="Y16" s="770">
        <v>189500</v>
      </c>
      <c r="Z16" s="772">
        <v>25300</v>
      </c>
      <c r="AA16" s="771">
        <v>80000</v>
      </c>
    </row>
    <row r="17" spans="1:27" ht="15.75" thickBot="1">
      <c r="A17" s="747"/>
      <c r="B17" s="764">
        <v>1.5</v>
      </c>
      <c r="C17" s="783">
        <v>86300</v>
      </c>
      <c r="D17" s="769">
        <v>94900</v>
      </c>
      <c r="E17" s="783">
        <v>8600</v>
      </c>
      <c r="F17" s="769">
        <v>103500</v>
      </c>
      <c r="G17" s="783">
        <v>17200</v>
      </c>
      <c r="H17" s="769">
        <v>112200</v>
      </c>
      <c r="I17" s="783">
        <v>25900</v>
      </c>
      <c r="J17" s="770">
        <v>120800</v>
      </c>
      <c r="K17" s="772">
        <v>25900</v>
      </c>
      <c r="L17" s="771">
        <v>8600</v>
      </c>
      <c r="M17" s="770">
        <v>129400</v>
      </c>
      <c r="N17" s="772">
        <v>25900</v>
      </c>
      <c r="O17" s="771">
        <v>17200</v>
      </c>
      <c r="P17" s="770">
        <v>142300</v>
      </c>
      <c r="Q17" s="772">
        <v>25900</v>
      </c>
      <c r="R17" s="771">
        <v>30100</v>
      </c>
      <c r="S17" s="770">
        <v>155300</v>
      </c>
      <c r="T17" s="772">
        <v>25900</v>
      </c>
      <c r="U17" s="771">
        <v>43100</v>
      </c>
      <c r="V17" s="770">
        <v>172500</v>
      </c>
      <c r="W17" s="772">
        <v>25900</v>
      </c>
      <c r="X17" s="771">
        <v>60300</v>
      </c>
      <c r="Y17" s="770">
        <v>194100</v>
      </c>
      <c r="Z17" s="772">
        <v>25900</v>
      </c>
      <c r="AA17" s="771">
        <v>81900</v>
      </c>
    </row>
    <row r="18" spans="1:27" ht="15.75" thickBot="1">
      <c r="A18" s="747"/>
      <c r="B18" s="737">
        <v>2</v>
      </c>
      <c r="C18" s="766">
        <v>88300</v>
      </c>
      <c r="D18" s="769">
        <v>97100</v>
      </c>
      <c r="E18" s="766">
        <v>8800</v>
      </c>
      <c r="F18" s="769">
        <v>106000</v>
      </c>
      <c r="G18" s="766">
        <v>17700</v>
      </c>
      <c r="H18" s="769">
        <v>114800</v>
      </c>
      <c r="I18" s="766">
        <v>26500</v>
      </c>
      <c r="J18" s="770">
        <v>123600</v>
      </c>
      <c r="K18" s="775">
        <v>26500</v>
      </c>
      <c r="L18" s="776">
        <v>8800</v>
      </c>
      <c r="M18" s="770">
        <v>132500</v>
      </c>
      <c r="N18" s="775">
        <v>26500</v>
      </c>
      <c r="O18" s="776">
        <v>17700</v>
      </c>
      <c r="P18" s="770">
        <v>145700</v>
      </c>
      <c r="Q18" s="775">
        <v>26500</v>
      </c>
      <c r="R18" s="776">
        <v>30900</v>
      </c>
      <c r="S18" s="770">
        <v>158900</v>
      </c>
      <c r="T18" s="775">
        <v>26500</v>
      </c>
      <c r="U18" s="776">
        <v>44100</v>
      </c>
      <c r="V18" s="770">
        <v>176600</v>
      </c>
      <c r="W18" s="775">
        <v>26500</v>
      </c>
      <c r="X18" s="776">
        <v>61800</v>
      </c>
      <c r="Y18" s="770">
        <v>198700</v>
      </c>
      <c r="Z18" s="775">
        <v>26500</v>
      </c>
      <c r="AA18" s="776">
        <v>83900</v>
      </c>
    </row>
    <row r="19" spans="1:27" ht="15.75" thickBot="1">
      <c r="A19" s="747"/>
      <c r="B19" s="737">
        <v>2.5</v>
      </c>
      <c r="C19" s="766">
        <v>90800</v>
      </c>
      <c r="D19" s="769">
        <v>99800</v>
      </c>
      <c r="E19" s="766">
        <v>9000</v>
      </c>
      <c r="F19" s="769">
        <v>108900</v>
      </c>
      <c r="G19" s="766">
        <v>18100</v>
      </c>
      <c r="H19" s="769">
        <v>118000</v>
      </c>
      <c r="I19" s="766">
        <v>27200</v>
      </c>
      <c r="J19" s="770">
        <v>127100</v>
      </c>
      <c r="K19" s="775">
        <v>27200</v>
      </c>
      <c r="L19" s="776">
        <v>9100</v>
      </c>
      <c r="M19" s="770">
        <v>136200</v>
      </c>
      <c r="N19" s="775">
        <v>27200</v>
      </c>
      <c r="O19" s="776">
        <v>18200</v>
      </c>
      <c r="P19" s="770">
        <v>149800</v>
      </c>
      <c r="Q19" s="775">
        <v>27200</v>
      </c>
      <c r="R19" s="776">
        <v>31800</v>
      </c>
      <c r="S19" s="770">
        <v>163400</v>
      </c>
      <c r="T19" s="775">
        <v>27200</v>
      </c>
      <c r="U19" s="776">
        <v>45400</v>
      </c>
      <c r="V19" s="770">
        <v>181500</v>
      </c>
      <c r="W19" s="775">
        <v>27200</v>
      </c>
      <c r="X19" s="776">
        <v>63500</v>
      </c>
      <c r="Y19" s="770">
        <v>204200</v>
      </c>
      <c r="Z19" s="775">
        <v>27200</v>
      </c>
      <c r="AA19" s="776">
        <v>86200</v>
      </c>
    </row>
    <row r="20" spans="1:27" ht="15.75" thickBot="1">
      <c r="A20" s="747"/>
      <c r="B20" s="737">
        <v>3</v>
      </c>
      <c r="C20" s="766">
        <v>93200</v>
      </c>
      <c r="D20" s="769">
        <v>102500</v>
      </c>
      <c r="E20" s="766">
        <v>9300</v>
      </c>
      <c r="F20" s="769">
        <v>111800</v>
      </c>
      <c r="G20" s="766">
        <v>18600</v>
      </c>
      <c r="H20" s="769">
        <v>121200</v>
      </c>
      <c r="I20" s="766">
        <v>28000</v>
      </c>
      <c r="J20" s="770">
        <v>130500</v>
      </c>
      <c r="K20" s="775">
        <v>28000</v>
      </c>
      <c r="L20" s="776">
        <v>9300</v>
      </c>
      <c r="M20" s="770">
        <v>139800</v>
      </c>
      <c r="N20" s="775">
        <v>28000</v>
      </c>
      <c r="O20" s="776">
        <v>18600</v>
      </c>
      <c r="P20" s="770">
        <v>153800</v>
      </c>
      <c r="Q20" s="775">
        <v>28000</v>
      </c>
      <c r="R20" s="776">
        <v>32600</v>
      </c>
      <c r="S20" s="770">
        <v>167800</v>
      </c>
      <c r="T20" s="775">
        <v>28000</v>
      </c>
      <c r="U20" s="776">
        <v>46600</v>
      </c>
      <c r="V20" s="770">
        <v>186400</v>
      </c>
      <c r="W20" s="775">
        <v>28000</v>
      </c>
      <c r="X20" s="776">
        <v>65200</v>
      </c>
      <c r="Y20" s="770">
        <v>209700</v>
      </c>
      <c r="Z20" s="775">
        <v>28000</v>
      </c>
      <c r="AA20" s="776">
        <v>88500</v>
      </c>
    </row>
    <row r="21" spans="1:27" ht="15.75" thickBot="1">
      <c r="A21" s="747"/>
      <c r="B21" s="737">
        <v>3.5</v>
      </c>
      <c r="C21" s="766">
        <v>96100</v>
      </c>
      <c r="D21" s="769">
        <v>105700</v>
      </c>
      <c r="E21" s="766">
        <v>9600</v>
      </c>
      <c r="F21" s="769">
        <v>115300</v>
      </c>
      <c r="G21" s="766">
        <v>19200</v>
      </c>
      <c r="H21" s="769">
        <v>125000</v>
      </c>
      <c r="I21" s="766">
        <v>28900</v>
      </c>
      <c r="J21" s="770">
        <v>134600</v>
      </c>
      <c r="K21" s="775">
        <v>28900</v>
      </c>
      <c r="L21" s="776">
        <v>9600</v>
      </c>
      <c r="M21" s="770">
        <v>144200</v>
      </c>
      <c r="N21" s="775">
        <v>28900</v>
      </c>
      <c r="O21" s="776">
        <v>19200</v>
      </c>
      <c r="P21" s="770">
        <v>158600</v>
      </c>
      <c r="Q21" s="775">
        <v>28900</v>
      </c>
      <c r="R21" s="776">
        <v>33600</v>
      </c>
      <c r="S21" s="770">
        <v>173000</v>
      </c>
      <c r="T21" s="775">
        <v>28900</v>
      </c>
      <c r="U21" s="776">
        <v>48000</v>
      </c>
      <c r="V21" s="770">
        <v>192200</v>
      </c>
      <c r="W21" s="775">
        <v>28900</v>
      </c>
      <c r="X21" s="776">
        <v>67200</v>
      </c>
      <c r="Y21" s="770">
        <v>216300</v>
      </c>
      <c r="Z21" s="775">
        <v>28900</v>
      </c>
      <c r="AA21" s="776">
        <v>91300</v>
      </c>
    </row>
    <row r="22" spans="1:27" ht="15.75" thickBot="1">
      <c r="A22" s="747"/>
      <c r="B22" s="737">
        <v>4</v>
      </c>
      <c r="C22" s="766">
        <v>99000</v>
      </c>
      <c r="D22" s="769">
        <v>108900</v>
      </c>
      <c r="E22" s="766">
        <v>9900</v>
      </c>
      <c r="F22" s="769">
        <v>118800</v>
      </c>
      <c r="G22" s="766">
        <v>19800</v>
      </c>
      <c r="H22" s="769">
        <v>128700</v>
      </c>
      <c r="I22" s="766">
        <v>29700</v>
      </c>
      <c r="J22" s="770">
        <v>138600</v>
      </c>
      <c r="K22" s="775">
        <v>29700</v>
      </c>
      <c r="L22" s="776">
        <v>9900</v>
      </c>
      <c r="M22" s="770">
        <v>148500</v>
      </c>
      <c r="N22" s="775">
        <v>29700</v>
      </c>
      <c r="O22" s="776">
        <v>19800</v>
      </c>
      <c r="P22" s="770">
        <v>163400</v>
      </c>
      <c r="Q22" s="775">
        <v>29700</v>
      </c>
      <c r="R22" s="776">
        <v>34700</v>
      </c>
      <c r="S22" s="770">
        <v>178200</v>
      </c>
      <c r="T22" s="775">
        <v>29700</v>
      </c>
      <c r="U22" s="776">
        <v>49500</v>
      </c>
      <c r="V22" s="770">
        <v>198000</v>
      </c>
      <c r="W22" s="775">
        <v>29700</v>
      </c>
      <c r="X22" s="776">
        <v>69300</v>
      </c>
      <c r="Y22" s="770">
        <v>222800</v>
      </c>
      <c r="Z22" s="775">
        <v>29700</v>
      </c>
      <c r="AA22" s="776">
        <v>94100</v>
      </c>
    </row>
    <row r="23" spans="1:27" ht="15.75" thickBot="1">
      <c r="A23" s="747"/>
      <c r="B23" s="754">
        <v>4.5</v>
      </c>
      <c r="C23" s="767">
        <v>102900</v>
      </c>
      <c r="D23" s="769">
        <v>113200</v>
      </c>
      <c r="E23" s="767">
        <v>10300</v>
      </c>
      <c r="F23" s="769">
        <v>123400</v>
      </c>
      <c r="G23" s="767">
        <v>20500</v>
      </c>
      <c r="H23" s="769">
        <v>133700</v>
      </c>
      <c r="I23" s="767">
        <v>30800</v>
      </c>
      <c r="J23" s="770">
        <v>144000</v>
      </c>
      <c r="K23" s="778">
        <v>30800</v>
      </c>
      <c r="L23" s="779">
        <v>10300</v>
      </c>
      <c r="M23" s="770">
        <v>154300</v>
      </c>
      <c r="N23" s="778">
        <v>30800</v>
      </c>
      <c r="O23" s="779">
        <v>20600</v>
      </c>
      <c r="P23" s="770">
        <v>169800</v>
      </c>
      <c r="Q23" s="778">
        <v>30800</v>
      </c>
      <c r="R23" s="779">
        <v>36100</v>
      </c>
      <c r="S23" s="770">
        <v>185200</v>
      </c>
      <c r="T23" s="778">
        <v>30800</v>
      </c>
      <c r="U23" s="779">
        <v>51500</v>
      </c>
      <c r="V23" s="770">
        <v>205700</v>
      </c>
      <c r="W23" s="778">
        <v>30800</v>
      </c>
      <c r="X23" s="779">
        <v>72000</v>
      </c>
      <c r="Y23" s="770">
        <v>231500</v>
      </c>
      <c r="Z23" s="778">
        <v>30800</v>
      </c>
      <c r="AA23" s="779">
        <v>97800</v>
      </c>
    </row>
    <row r="24" spans="1:27" ht="15.75" thickBot="1">
      <c r="A24" s="747"/>
      <c r="B24" s="737">
        <v>5</v>
      </c>
      <c r="C24" s="766">
        <v>106700</v>
      </c>
      <c r="D24" s="769">
        <v>117400</v>
      </c>
      <c r="E24" s="766">
        <v>10700</v>
      </c>
      <c r="F24" s="773">
        <v>128000</v>
      </c>
      <c r="G24" s="766">
        <v>21300</v>
      </c>
      <c r="H24" s="769">
        <v>138700</v>
      </c>
      <c r="I24" s="766">
        <v>32000</v>
      </c>
      <c r="J24" s="770">
        <v>149400</v>
      </c>
      <c r="K24" s="775">
        <v>32000</v>
      </c>
      <c r="L24" s="776">
        <v>10700</v>
      </c>
      <c r="M24" s="770">
        <v>160100</v>
      </c>
      <c r="N24" s="775">
        <v>32000</v>
      </c>
      <c r="O24" s="776">
        <v>21400</v>
      </c>
      <c r="P24" s="770">
        <v>176100</v>
      </c>
      <c r="Q24" s="775">
        <v>32000</v>
      </c>
      <c r="R24" s="776">
        <v>37400</v>
      </c>
      <c r="S24" s="770">
        <v>192100</v>
      </c>
      <c r="T24" s="775">
        <v>32000</v>
      </c>
      <c r="U24" s="776">
        <v>53400</v>
      </c>
      <c r="V24" s="770">
        <v>213400</v>
      </c>
      <c r="W24" s="775">
        <v>32000</v>
      </c>
      <c r="X24" s="776">
        <v>74700</v>
      </c>
      <c r="Y24" s="770">
        <v>240100</v>
      </c>
      <c r="Z24" s="775">
        <v>32000</v>
      </c>
      <c r="AA24" s="776">
        <v>101400</v>
      </c>
    </row>
    <row r="25" spans="1:27" ht="15.75" thickBot="1">
      <c r="A25" s="747"/>
      <c r="B25" s="738">
        <v>5.5</v>
      </c>
      <c r="C25" s="768">
        <v>110600</v>
      </c>
      <c r="D25" s="769">
        <v>121700</v>
      </c>
      <c r="E25" s="768">
        <v>11100</v>
      </c>
      <c r="F25" s="780">
        <v>132700</v>
      </c>
      <c r="G25" s="768">
        <v>22100</v>
      </c>
      <c r="H25" s="769">
        <v>143800</v>
      </c>
      <c r="I25" s="768">
        <v>33200</v>
      </c>
      <c r="J25" s="770">
        <v>154900</v>
      </c>
      <c r="K25" s="781">
        <v>33200</v>
      </c>
      <c r="L25" s="782">
        <v>11100</v>
      </c>
      <c r="M25" s="770">
        <v>166000</v>
      </c>
      <c r="N25" s="781">
        <v>33200</v>
      </c>
      <c r="O25" s="782">
        <v>22200</v>
      </c>
      <c r="P25" s="770">
        <v>182500</v>
      </c>
      <c r="Q25" s="781">
        <v>33200</v>
      </c>
      <c r="R25" s="782">
        <v>38700</v>
      </c>
      <c r="S25" s="770">
        <v>199100</v>
      </c>
      <c r="T25" s="781">
        <v>33200</v>
      </c>
      <c r="U25" s="782">
        <v>55300</v>
      </c>
      <c r="V25" s="770">
        <v>221200</v>
      </c>
      <c r="W25" s="781">
        <v>33200</v>
      </c>
      <c r="X25" s="782">
        <v>77400</v>
      </c>
      <c r="Y25" s="770">
        <v>248900</v>
      </c>
      <c r="Z25" s="781">
        <v>33200</v>
      </c>
      <c r="AA25" s="782">
        <v>105100</v>
      </c>
    </row>
    <row r="26" spans="1:27" ht="15.75" thickBot="1">
      <c r="A26" s="746" t="s">
        <v>15</v>
      </c>
      <c r="B26" s="736">
        <v>1</v>
      </c>
      <c r="C26" s="765">
        <v>99100</v>
      </c>
      <c r="D26" s="769">
        <v>109000</v>
      </c>
      <c r="E26" s="765">
        <v>9900</v>
      </c>
      <c r="F26" s="769">
        <v>118900</v>
      </c>
      <c r="G26" s="765">
        <v>19800</v>
      </c>
      <c r="H26" s="769">
        <v>128800</v>
      </c>
      <c r="I26" s="765">
        <v>29700</v>
      </c>
      <c r="J26" s="770">
        <v>138700</v>
      </c>
      <c r="K26" s="772">
        <v>29700</v>
      </c>
      <c r="L26" s="771">
        <v>9900</v>
      </c>
      <c r="M26" s="770">
        <v>148700</v>
      </c>
      <c r="N26" s="772">
        <v>29700</v>
      </c>
      <c r="O26" s="771">
        <v>19900</v>
      </c>
      <c r="P26" s="770">
        <v>163500</v>
      </c>
      <c r="Q26" s="772">
        <v>29700</v>
      </c>
      <c r="R26" s="771">
        <v>34700</v>
      </c>
      <c r="S26" s="770">
        <v>178400</v>
      </c>
      <c r="T26" s="772">
        <v>29700</v>
      </c>
      <c r="U26" s="771">
        <v>49600</v>
      </c>
      <c r="V26" s="770">
        <v>198200</v>
      </c>
      <c r="W26" s="772">
        <v>29700</v>
      </c>
      <c r="X26" s="771">
        <v>69400</v>
      </c>
      <c r="Y26" s="770">
        <v>223000</v>
      </c>
      <c r="Z26" s="772">
        <v>29700</v>
      </c>
      <c r="AA26" s="771">
        <v>94200</v>
      </c>
    </row>
    <row r="27" spans="1:27" ht="15.75" thickBot="1">
      <c r="A27" s="747"/>
      <c r="B27" s="764">
        <v>1.5</v>
      </c>
      <c r="C27" s="783">
        <v>103000</v>
      </c>
      <c r="D27" s="769">
        <v>113300</v>
      </c>
      <c r="E27" s="783">
        <v>10300</v>
      </c>
      <c r="F27" s="769">
        <v>123600</v>
      </c>
      <c r="G27" s="783">
        <v>20600</v>
      </c>
      <c r="H27" s="769">
        <v>133800</v>
      </c>
      <c r="I27" s="783">
        <v>30800</v>
      </c>
      <c r="J27" s="770">
        <v>144100</v>
      </c>
      <c r="K27" s="772">
        <v>30800</v>
      </c>
      <c r="L27" s="771">
        <v>10300</v>
      </c>
      <c r="M27" s="770">
        <v>154500</v>
      </c>
      <c r="N27" s="772">
        <v>30800</v>
      </c>
      <c r="O27" s="771">
        <v>20700</v>
      </c>
      <c r="P27" s="770">
        <v>169900</v>
      </c>
      <c r="Q27" s="772">
        <v>30800</v>
      </c>
      <c r="R27" s="771">
        <v>36100</v>
      </c>
      <c r="S27" s="770">
        <v>185300</v>
      </c>
      <c r="T27" s="772">
        <v>30800</v>
      </c>
      <c r="U27" s="771">
        <v>51500</v>
      </c>
      <c r="V27" s="770">
        <v>205900</v>
      </c>
      <c r="W27" s="772">
        <v>30800</v>
      </c>
      <c r="X27" s="771">
        <v>72100</v>
      </c>
      <c r="Y27" s="770">
        <v>231700</v>
      </c>
      <c r="Z27" s="772">
        <v>30800</v>
      </c>
      <c r="AA27" s="771">
        <v>97900</v>
      </c>
    </row>
    <row r="28" spans="1:27" ht="15.75" thickBot="1">
      <c r="A28" s="747"/>
      <c r="B28" s="737">
        <v>2</v>
      </c>
      <c r="C28" s="766">
        <v>106800</v>
      </c>
      <c r="D28" s="769">
        <v>117500</v>
      </c>
      <c r="E28" s="766">
        <v>10700</v>
      </c>
      <c r="F28" s="769">
        <v>128200</v>
      </c>
      <c r="G28" s="766">
        <v>21400</v>
      </c>
      <c r="H28" s="769">
        <v>138800</v>
      </c>
      <c r="I28" s="766">
        <v>32000</v>
      </c>
      <c r="J28" s="770">
        <v>149500</v>
      </c>
      <c r="K28" s="775">
        <v>32000</v>
      </c>
      <c r="L28" s="776">
        <v>10700</v>
      </c>
      <c r="M28" s="770">
        <v>160200</v>
      </c>
      <c r="N28" s="775">
        <v>32000</v>
      </c>
      <c r="O28" s="776">
        <v>21400</v>
      </c>
      <c r="P28" s="770">
        <v>176200</v>
      </c>
      <c r="Q28" s="775">
        <v>32000</v>
      </c>
      <c r="R28" s="776">
        <v>37400</v>
      </c>
      <c r="S28" s="770">
        <v>192200</v>
      </c>
      <c r="T28" s="775">
        <v>32000</v>
      </c>
      <c r="U28" s="776">
        <v>53400</v>
      </c>
      <c r="V28" s="770">
        <v>213600</v>
      </c>
      <c r="W28" s="775">
        <v>32000</v>
      </c>
      <c r="X28" s="776">
        <v>74800</v>
      </c>
      <c r="Y28" s="770">
        <v>240300</v>
      </c>
      <c r="Z28" s="775">
        <v>32000</v>
      </c>
      <c r="AA28" s="776">
        <v>101500</v>
      </c>
    </row>
    <row r="29" spans="1:27" ht="15.75" thickBot="1">
      <c r="A29" s="747"/>
      <c r="B29" s="737">
        <v>2.5</v>
      </c>
      <c r="C29" s="766">
        <v>110700</v>
      </c>
      <c r="D29" s="769">
        <v>121800</v>
      </c>
      <c r="E29" s="766">
        <v>11100</v>
      </c>
      <c r="F29" s="769">
        <v>132800</v>
      </c>
      <c r="G29" s="766">
        <v>22100</v>
      </c>
      <c r="H29" s="769">
        <v>143900</v>
      </c>
      <c r="I29" s="766">
        <v>33200</v>
      </c>
      <c r="J29" s="770">
        <v>154900</v>
      </c>
      <c r="K29" s="775">
        <v>33200</v>
      </c>
      <c r="L29" s="776">
        <v>11000</v>
      </c>
      <c r="M29" s="770">
        <v>166000</v>
      </c>
      <c r="N29" s="775">
        <v>33200</v>
      </c>
      <c r="O29" s="776">
        <v>22100</v>
      </c>
      <c r="P29" s="770">
        <v>182600</v>
      </c>
      <c r="Q29" s="775">
        <v>33200</v>
      </c>
      <c r="R29" s="776">
        <v>38700</v>
      </c>
      <c r="S29" s="770">
        <v>199200</v>
      </c>
      <c r="T29" s="775">
        <v>33200</v>
      </c>
      <c r="U29" s="776">
        <v>55300</v>
      </c>
      <c r="V29" s="770">
        <v>221300</v>
      </c>
      <c r="W29" s="775">
        <v>33200</v>
      </c>
      <c r="X29" s="776">
        <v>77400</v>
      </c>
      <c r="Y29" s="770">
        <v>249000</v>
      </c>
      <c r="Z29" s="775">
        <v>33200</v>
      </c>
      <c r="AA29" s="776">
        <v>105100</v>
      </c>
    </row>
    <row r="30" spans="1:27" ht="15.75" thickBot="1">
      <c r="A30" s="747"/>
      <c r="B30" s="737">
        <v>3</v>
      </c>
      <c r="C30" s="766">
        <v>114500</v>
      </c>
      <c r="D30" s="769">
        <v>126000</v>
      </c>
      <c r="E30" s="766">
        <v>11500</v>
      </c>
      <c r="F30" s="769">
        <v>137400</v>
      </c>
      <c r="G30" s="766">
        <v>22900</v>
      </c>
      <c r="H30" s="769">
        <v>148900</v>
      </c>
      <c r="I30" s="766">
        <v>34400</v>
      </c>
      <c r="J30" s="770">
        <v>160300</v>
      </c>
      <c r="K30" s="775">
        <v>34400</v>
      </c>
      <c r="L30" s="776">
        <v>11400</v>
      </c>
      <c r="M30" s="770">
        <v>171800</v>
      </c>
      <c r="N30" s="775">
        <v>34400</v>
      </c>
      <c r="O30" s="776">
        <v>22900</v>
      </c>
      <c r="P30" s="770">
        <v>188900</v>
      </c>
      <c r="Q30" s="775">
        <v>34400</v>
      </c>
      <c r="R30" s="776">
        <v>40000</v>
      </c>
      <c r="S30" s="770">
        <v>206100</v>
      </c>
      <c r="T30" s="775">
        <v>34400</v>
      </c>
      <c r="U30" s="776">
        <v>57200</v>
      </c>
      <c r="V30" s="770">
        <v>229000</v>
      </c>
      <c r="W30" s="775">
        <v>34400</v>
      </c>
      <c r="X30" s="776">
        <v>80100</v>
      </c>
      <c r="Y30" s="770">
        <v>257600</v>
      </c>
      <c r="Z30" s="775">
        <v>34400</v>
      </c>
      <c r="AA30" s="776">
        <v>108700</v>
      </c>
    </row>
    <row r="31" spans="1:27" ht="15.75" thickBot="1">
      <c r="A31" s="747"/>
      <c r="B31" s="737">
        <v>3.5</v>
      </c>
      <c r="C31" s="766">
        <v>118700</v>
      </c>
      <c r="D31" s="769">
        <v>130600</v>
      </c>
      <c r="E31" s="766">
        <v>11900</v>
      </c>
      <c r="F31" s="769">
        <v>142400</v>
      </c>
      <c r="G31" s="766">
        <v>23700</v>
      </c>
      <c r="H31" s="769">
        <v>154300</v>
      </c>
      <c r="I31" s="766">
        <v>35600</v>
      </c>
      <c r="J31" s="770">
        <v>166100</v>
      </c>
      <c r="K31" s="775">
        <v>35600</v>
      </c>
      <c r="L31" s="776">
        <v>11800</v>
      </c>
      <c r="M31" s="770">
        <v>178000</v>
      </c>
      <c r="N31" s="775">
        <v>35600</v>
      </c>
      <c r="O31" s="776">
        <v>23700</v>
      </c>
      <c r="P31" s="770">
        <v>195800</v>
      </c>
      <c r="Q31" s="775">
        <v>35600</v>
      </c>
      <c r="R31" s="776">
        <v>41500</v>
      </c>
      <c r="S31" s="770">
        <v>213600</v>
      </c>
      <c r="T31" s="775">
        <v>35600</v>
      </c>
      <c r="U31" s="776">
        <v>59300</v>
      </c>
      <c r="V31" s="770">
        <v>237300</v>
      </c>
      <c r="W31" s="775">
        <v>35600</v>
      </c>
      <c r="X31" s="776">
        <v>83000</v>
      </c>
      <c r="Y31" s="770">
        <v>267000</v>
      </c>
      <c r="Z31" s="775">
        <v>35600</v>
      </c>
      <c r="AA31" s="776">
        <v>112700</v>
      </c>
    </row>
    <row r="32" spans="1:27" ht="15.75" thickBot="1">
      <c r="A32" s="747"/>
      <c r="B32" s="737">
        <v>4</v>
      </c>
      <c r="C32" s="766">
        <v>122800</v>
      </c>
      <c r="D32" s="769">
        <v>135100</v>
      </c>
      <c r="E32" s="766">
        <v>12300</v>
      </c>
      <c r="F32" s="769">
        <v>147400</v>
      </c>
      <c r="G32" s="766">
        <v>24600</v>
      </c>
      <c r="H32" s="769">
        <v>159600</v>
      </c>
      <c r="I32" s="766">
        <v>36800</v>
      </c>
      <c r="J32" s="770">
        <v>171900</v>
      </c>
      <c r="K32" s="775">
        <v>36800</v>
      </c>
      <c r="L32" s="776">
        <v>12300</v>
      </c>
      <c r="M32" s="770">
        <v>184200</v>
      </c>
      <c r="N32" s="775">
        <v>36800</v>
      </c>
      <c r="O32" s="776">
        <v>24600</v>
      </c>
      <c r="P32" s="770">
        <v>202600</v>
      </c>
      <c r="Q32" s="775">
        <v>36800</v>
      </c>
      <c r="R32" s="776">
        <v>43000</v>
      </c>
      <c r="S32" s="770">
        <v>221000</v>
      </c>
      <c r="T32" s="775">
        <v>36800</v>
      </c>
      <c r="U32" s="776">
        <v>61400</v>
      </c>
      <c r="V32" s="770">
        <v>245600</v>
      </c>
      <c r="W32" s="775">
        <v>36800</v>
      </c>
      <c r="X32" s="776">
        <v>86000</v>
      </c>
      <c r="Y32" s="770">
        <v>276300</v>
      </c>
      <c r="Z32" s="775">
        <v>36800</v>
      </c>
      <c r="AA32" s="776">
        <v>116700</v>
      </c>
    </row>
    <row r="33" spans="1:27" ht="15.75" thickBot="1">
      <c r="A33" s="747"/>
      <c r="B33" s="737">
        <v>4.5</v>
      </c>
      <c r="C33" s="766">
        <v>127200</v>
      </c>
      <c r="D33" s="769">
        <v>140000</v>
      </c>
      <c r="E33" s="766">
        <v>12800</v>
      </c>
      <c r="F33" s="769">
        <v>152700</v>
      </c>
      <c r="G33" s="766">
        <v>25500</v>
      </c>
      <c r="H33" s="769">
        <v>165400</v>
      </c>
      <c r="I33" s="766">
        <v>38200</v>
      </c>
      <c r="J33" s="770">
        <v>178100</v>
      </c>
      <c r="K33" s="775">
        <v>38200</v>
      </c>
      <c r="L33" s="776">
        <v>12700</v>
      </c>
      <c r="M33" s="770">
        <v>190800</v>
      </c>
      <c r="N33" s="775">
        <v>38200</v>
      </c>
      <c r="O33" s="776">
        <v>25400</v>
      </c>
      <c r="P33" s="770">
        <v>209900</v>
      </c>
      <c r="Q33" s="775">
        <v>38200</v>
      </c>
      <c r="R33" s="776">
        <v>44500</v>
      </c>
      <c r="S33" s="770">
        <v>229000</v>
      </c>
      <c r="T33" s="775">
        <v>38200</v>
      </c>
      <c r="U33" s="776">
        <v>63600</v>
      </c>
      <c r="V33" s="770">
        <v>254400</v>
      </c>
      <c r="W33" s="775">
        <v>38200</v>
      </c>
      <c r="X33" s="776">
        <v>89000</v>
      </c>
      <c r="Y33" s="770">
        <v>286200</v>
      </c>
      <c r="Z33" s="775">
        <v>38200</v>
      </c>
      <c r="AA33" s="776">
        <v>120800</v>
      </c>
    </row>
    <row r="34" spans="1:27" ht="15.75" thickBot="1">
      <c r="A34" s="747"/>
      <c r="B34" s="737">
        <v>5</v>
      </c>
      <c r="C34" s="766">
        <v>131600</v>
      </c>
      <c r="D34" s="769">
        <v>144800</v>
      </c>
      <c r="E34" s="766">
        <v>13200</v>
      </c>
      <c r="F34" s="769">
        <v>157900</v>
      </c>
      <c r="G34" s="766">
        <v>26300</v>
      </c>
      <c r="H34" s="769">
        <v>171100</v>
      </c>
      <c r="I34" s="766">
        <v>39500</v>
      </c>
      <c r="J34" s="770">
        <v>184200</v>
      </c>
      <c r="K34" s="775">
        <v>39500</v>
      </c>
      <c r="L34" s="776">
        <v>13100</v>
      </c>
      <c r="M34" s="770">
        <v>197400</v>
      </c>
      <c r="N34" s="775">
        <v>39500</v>
      </c>
      <c r="O34" s="776">
        <v>26300</v>
      </c>
      <c r="P34" s="770">
        <v>217100</v>
      </c>
      <c r="Q34" s="775">
        <v>39500</v>
      </c>
      <c r="R34" s="776">
        <v>46000</v>
      </c>
      <c r="S34" s="770">
        <v>236900</v>
      </c>
      <c r="T34" s="775">
        <v>39500</v>
      </c>
      <c r="U34" s="776">
        <v>65800</v>
      </c>
      <c r="V34" s="770">
        <v>263200</v>
      </c>
      <c r="W34" s="775">
        <v>39500</v>
      </c>
      <c r="X34" s="776">
        <v>92100</v>
      </c>
      <c r="Y34" s="770">
        <v>296100</v>
      </c>
      <c r="Z34" s="775">
        <v>39500</v>
      </c>
      <c r="AA34" s="776">
        <v>125000</v>
      </c>
    </row>
    <row r="35" spans="1:27" ht="15.75" thickBot="1">
      <c r="A35" s="747"/>
      <c r="B35" s="737">
        <v>5.5</v>
      </c>
      <c r="C35" s="766">
        <v>137100</v>
      </c>
      <c r="D35" s="769">
        <v>150800</v>
      </c>
      <c r="E35" s="766">
        <v>13700</v>
      </c>
      <c r="F35" s="769">
        <v>164500</v>
      </c>
      <c r="G35" s="766">
        <v>27400</v>
      </c>
      <c r="H35" s="769">
        <v>178200</v>
      </c>
      <c r="I35" s="766">
        <v>41100</v>
      </c>
      <c r="J35" s="770">
        <v>191900</v>
      </c>
      <c r="K35" s="775">
        <v>41100</v>
      </c>
      <c r="L35" s="776">
        <v>13700</v>
      </c>
      <c r="M35" s="770">
        <v>205600</v>
      </c>
      <c r="N35" s="775">
        <v>41100</v>
      </c>
      <c r="O35" s="776">
        <v>27400</v>
      </c>
      <c r="P35" s="770">
        <v>226100</v>
      </c>
      <c r="Q35" s="775">
        <v>41100</v>
      </c>
      <c r="R35" s="776">
        <v>47900</v>
      </c>
      <c r="S35" s="770">
        <v>246700</v>
      </c>
      <c r="T35" s="775">
        <v>41100</v>
      </c>
      <c r="U35" s="776">
        <v>68500</v>
      </c>
      <c r="V35" s="770">
        <v>274100</v>
      </c>
      <c r="W35" s="775">
        <v>41100</v>
      </c>
      <c r="X35" s="776">
        <v>95900</v>
      </c>
      <c r="Y35" s="770">
        <v>308400</v>
      </c>
      <c r="Z35" s="775">
        <v>41100</v>
      </c>
      <c r="AA35" s="776">
        <v>130200</v>
      </c>
    </row>
    <row r="36" spans="1:27" ht="15.75" thickBot="1">
      <c r="A36" s="747"/>
      <c r="B36" s="737">
        <v>6</v>
      </c>
      <c r="C36" s="766">
        <v>142500</v>
      </c>
      <c r="D36" s="769">
        <v>156800</v>
      </c>
      <c r="E36" s="766">
        <v>14300</v>
      </c>
      <c r="F36" s="769">
        <v>171000</v>
      </c>
      <c r="G36" s="766">
        <v>28500</v>
      </c>
      <c r="H36" s="769">
        <v>185300</v>
      </c>
      <c r="I36" s="766">
        <v>42800</v>
      </c>
      <c r="J36" s="770">
        <v>199500</v>
      </c>
      <c r="K36" s="775">
        <v>42800</v>
      </c>
      <c r="L36" s="776">
        <v>14200</v>
      </c>
      <c r="M36" s="770">
        <v>213800</v>
      </c>
      <c r="N36" s="775">
        <v>42800</v>
      </c>
      <c r="O36" s="776">
        <v>28500</v>
      </c>
      <c r="P36" s="770">
        <v>235100</v>
      </c>
      <c r="Q36" s="775">
        <v>42800</v>
      </c>
      <c r="R36" s="776">
        <v>49800</v>
      </c>
      <c r="S36" s="770">
        <v>256500</v>
      </c>
      <c r="T36" s="775">
        <v>42800</v>
      </c>
      <c r="U36" s="776">
        <v>71200</v>
      </c>
      <c r="V36" s="770">
        <v>285000</v>
      </c>
      <c r="W36" s="775">
        <v>42800</v>
      </c>
      <c r="X36" s="776">
        <v>99700</v>
      </c>
      <c r="Y36" s="770">
        <v>320600</v>
      </c>
      <c r="Z36" s="775">
        <v>42800</v>
      </c>
      <c r="AA36" s="776">
        <v>135300</v>
      </c>
    </row>
    <row r="37" spans="1:27" ht="15.75" thickBot="1">
      <c r="A37" s="747"/>
      <c r="B37" s="737">
        <v>6.5</v>
      </c>
      <c r="C37" s="766">
        <v>148400</v>
      </c>
      <c r="D37" s="769">
        <v>163200</v>
      </c>
      <c r="E37" s="766">
        <v>14800</v>
      </c>
      <c r="F37" s="769">
        <v>178000</v>
      </c>
      <c r="G37" s="766">
        <v>29600</v>
      </c>
      <c r="H37" s="769">
        <v>192900</v>
      </c>
      <c r="I37" s="766">
        <v>44500</v>
      </c>
      <c r="J37" s="770">
        <v>207700</v>
      </c>
      <c r="K37" s="775">
        <v>44500</v>
      </c>
      <c r="L37" s="776">
        <v>14800</v>
      </c>
      <c r="M37" s="770">
        <v>222600</v>
      </c>
      <c r="N37" s="775">
        <v>44500</v>
      </c>
      <c r="O37" s="776">
        <v>29700</v>
      </c>
      <c r="P37" s="770">
        <v>244800</v>
      </c>
      <c r="Q37" s="775">
        <v>44500</v>
      </c>
      <c r="R37" s="776">
        <v>51900</v>
      </c>
      <c r="S37" s="770">
        <v>267100</v>
      </c>
      <c r="T37" s="775">
        <v>44500</v>
      </c>
      <c r="U37" s="776">
        <v>74200</v>
      </c>
      <c r="V37" s="770">
        <v>296700</v>
      </c>
      <c r="W37" s="775">
        <v>44500</v>
      </c>
      <c r="X37" s="776">
        <v>103800</v>
      </c>
      <c r="Y37" s="770">
        <v>333800</v>
      </c>
      <c r="Z37" s="775">
        <v>44500</v>
      </c>
      <c r="AA37" s="776">
        <v>140900</v>
      </c>
    </row>
    <row r="38" spans="1:27" ht="15.75" thickBot="1">
      <c r="A38" s="747"/>
      <c r="B38" s="737">
        <v>7</v>
      </c>
      <c r="C38" s="766">
        <v>154200</v>
      </c>
      <c r="D38" s="769">
        <v>169600</v>
      </c>
      <c r="E38" s="766">
        <v>15400</v>
      </c>
      <c r="F38" s="769">
        <v>185000</v>
      </c>
      <c r="G38" s="766">
        <v>30800</v>
      </c>
      <c r="H38" s="769">
        <v>200500</v>
      </c>
      <c r="I38" s="766">
        <v>46300</v>
      </c>
      <c r="J38" s="770">
        <v>215900</v>
      </c>
      <c r="K38" s="775">
        <v>46300</v>
      </c>
      <c r="L38" s="776">
        <v>15400</v>
      </c>
      <c r="M38" s="770">
        <v>231300</v>
      </c>
      <c r="N38" s="775">
        <v>46300</v>
      </c>
      <c r="O38" s="776">
        <v>30800</v>
      </c>
      <c r="P38" s="770">
        <v>254400</v>
      </c>
      <c r="Q38" s="775">
        <v>46300</v>
      </c>
      <c r="R38" s="776">
        <v>53900</v>
      </c>
      <c r="S38" s="770">
        <v>277600</v>
      </c>
      <c r="T38" s="775">
        <v>46300</v>
      </c>
      <c r="U38" s="776">
        <v>77100</v>
      </c>
      <c r="V38" s="770">
        <v>308400</v>
      </c>
      <c r="W38" s="775">
        <v>46300</v>
      </c>
      <c r="X38" s="776">
        <v>107900</v>
      </c>
      <c r="Y38" s="770">
        <v>347000</v>
      </c>
      <c r="Z38" s="775">
        <v>46300</v>
      </c>
      <c r="AA38" s="776">
        <v>146500</v>
      </c>
    </row>
    <row r="39" spans="1:27" ht="15.75" thickBot="1">
      <c r="A39" s="747"/>
      <c r="B39" s="754">
        <v>7.5</v>
      </c>
      <c r="C39" s="767">
        <v>160600</v>
      </c>
      <c r="D39" s="769">
        <v>176700</v>
      </c>
      <c r="E39" s="767">
        <v>16100</v>
      </c>
      <c r="F39" s="769">
        <v>192700</v>
      </c>
      <c r="G39" s="767">
        <v>32100</v>
      </c>
      <c r="H39" s="769">
        <v>208800</v>
      </c>
      <c r="I39" s="766">
        <v>48200</v>
      </c>
      <c r="J39" s="770">
        <v>224900</v>
      </c>
      <c r="K39" s="775">
        <v>48200</v>
      </c>
      <c r="L39" s="776">
        <v>16100</v>
      </c>
      <c r="M39" s="770">
        <v>240900</v>
      </c>
      <c r="N39" s="775">
        <v>48200</v>
      </c>
      <c r="O39" s="776">
        <v>32100</v>
      </c>
      <c r="P39" s="770">
        <v>265000</v>
      </c>
      <c r="Q39" s="775">
        <v>48200</v>
      </c>
      <c r="R39" s="776">
        <v>56200</v>
      </c>
      <c r="S39" s="770">
        <v>289100</v>
      </c>
      <c r="T39" s="775">
        <v>48200</v>
      </c>
      <c r="U39" s="776">
        <v>80300</v>
      </c>
      <c r="V39" s="770">
        <v>321200</v>
      </c>
      <c r="W39" s="775">
        <v>48200</v>
      </c>
      <c r="X39" s="776">
        <v>112400</v>
      </c>
      <c r="Y39" s="770">
        <v>361400</v>
      </c>
      <c r="Z39" s="775">
        <v>48200</v>
      </c>
      <c r="AA39" s="776">
        <v>152600</v>
      </c>
    </row>
    <row r="40" spans="1:27" ht="15.75" thickBot="1">
      <c r="A40" s="752"/>
      <c r="B40" s="754">
        <v>8</v>
      </c>
      <c r="C40" s="767">
        <v>167000</v>
      </c>
      <c r="D40" s="769">
        <v>183700</v>
      </c>
      <c r="E40" s="767">
        <v>16700</v>
      </c>
      <c r="F40" s="769">
        <v>200400</v>
      </c>
      <c r="G40" s="767">
        <v>33400</v>
      </c>
      <c r="H40" s="769">
        <v>217100</v>
      </c>
      <c r="I40" s="766">
        <v>50100</v>
      </c>
      <c r="J40" s="770">
        <v>233800</v>
      </c>
      <c r="K40" s="775">
        <v>50100</v>
      </c>
      <c r="L40" s="776">
        <v>16700</v>
      </c>
      <c r="M40" s="770">
        <v>250500</v>
      </c>
      <c r="N40" s="775">
        <v>50100</v>
      </c>
      <c r="O40" s="776">
        <v>33400</v>
      </c>
      <c r="P40" s="770">
        <v>275600</v>
      </c>
      <c r="Q40" s="775">
        <v>50100</v>
      </c>
      <c r="R40" s="776">
        <v>58500</v>
      </c>
      <c r="S40" s="770">
        <v>300600</v>
      </c>
      <c r="T40" s="775">
        <v>50100</v>
      </c>
      <c r="U40" s="776">
        <v>83500</v>
      </c>
      <c r="V40" s="770">
        <v>334000</v>
      </c>
      <c r="W40" s="775">
        <v>50100</v>
      </c>
      <c r="X40" s="776">
        <v>116900</v>
      </c>
      <c r="Y40" s="770">
        <v>375800</v>
      </c>
      <c r="Z40" s="775">
        <v>50100</v>
      </c>
      <c r="AA40" s="776">
        <v>158700</v>
      </c>
    </row>
    <row r="41" spans="1:27" ht="15.75" thickBot="1">
      <c r="A41" s="733"/>
      <c r="B41" s="754">
        <v>8.5</v>
      </c>
      <c r="C41" s="767">
        <v>174000</v>
      </c>
      <c r="D41" s="769">
        <v>191400</v>
      </c>
      <c r="E41" s="767">
        <v>17400</v>
      </c>
      <c r="F41" s="769">
        <v>208800</v>
      </c>
      <c r="G41" s="784">
        <v>34800</v>
      </c>
      <c r="H41" s="769">
        <v>226200</v>
      </c>
      <c r="I41" s="785">
        <v>52200</v>
      </c>
      <c r="J41" s="770">
        <v>243600</v>
      </c>
      <c r="K41" s="775">
        <v>52200</v>
      </c>
      <c r="L41" s="776">
        <v>17400</v>
      </c>
      <c r="M41" s="770">
        <v>261000</v>
      </c>
      <c r="N41" s="775">
        <v>52200</v>
      </c>
      <c r="O41" s="776">
        <v>34800</v>
      </c>
      <c r="P41" s="770">
        <v>287100</v>
      </c>
      <c r="Q41" s="775">
        <v>52200</v>
      </c>
      <c r="R41" s="776">
        <v>60900</v>
      </c>
      <c r="S41" s="770">
        <v>313100</v>
      </c>
      <c r="T41" s="775">
        <v>52200</v>
      </c>
      <c r="U41" s="776">
        <v>86900</v>
      </c>
      <c r="V41" s="770">
        <v>347900</v>
      </c>
      <c r="W41" s="775">
        <v>52200</v>
      </c>
      <c r="X41" s="776">
        <v>121700</v>
      </c>
      <c r="Y41" s="770">
        <v>391400</v>
      </c>
      <c r="Z41" s="775">
        <v>52200</v>
      </c>
      <c r="AA41" s="776">
        <v>165200</v>
      </c>
    </row>
    <row r="42" spans="1:27" ht="15.75" thickBot="1">
      <c r="A42" s="747"/>
      <c r="B42" s="737">
        <v>9</v>
      </c>
      <c r="C42" s="766">
        <v>180900</v>
      </c>
      <c r="D42" s="769">
        <v>199000</v>
      </c>
      <c r="E42" s="766">
        <v>18100</v>
      </c>
      <c r="F42" s="769">
        <v>217100</v>
      </c>
      <c r="G42" s="766">
        <v>36200</v>
      </c>
      <c r="H42" s="769">
        <v>235200</v>
      </c>
      <c r="I42" s="766">
        <v>54300</v>
      </c>
      <c r="J42" s="770">
        <v>253300</v>
      </c>
      <c r="K42" s="775">
        <v>54300</v>
      </c>
      <c r="L42" s="776">
        <v>18100</v>
      </c>
      <c r="M42" s="770">
        <v>271400</v>
      </c>
      <c r="N42" s="775">
        <v>54300</v>
      </c>
      <c r="O42" s="776">
        <v>36200</v>
      </c>
      <c r="P42" s="770">
        <v>298500</v>
      </c>
      <c r="Q42" s="775">
        <v>54300</v>
      </c>
      <c r="R42" s="776">
        <v>63300</v>
      </c>
      <c r="S42" s="770">
        <v>325600</v>
      </c>
      <c r="T42" s="775">
        <v>54300</v>
      </c>
      <c r="U42" s="776">
        <v>90400</v>
      </c>
      <c r="V42" s="770">
        <v>361800</v>
      </c>
      <c r="W42" s="775">
        <v>54300</v>
      </c>
      <c r="X42" s="776">
        <v>126600</v>
      </c>
      <c r="Y42" s="770">
        <v>407000</v>
      </c>
      <c r="Z42" s="775">
        <v>54300</v>
      </c>
      <c r="AA42" s="776">
        <v>171800</v>
      </c>
    </row>
    <row r="43" spans="1:27" ht="15.75" thickBot="1">
      <c r="A43" s="753"/>
      <c r="B43" s="738">
        <v>9.5</v>
      </c>
      <c r="C43" s="768">
        <v>188400</v>
      </c>
      <c r="D43" s="769">
        <v>207300</v>
      </c>
      <c r="E43" s="768">
        <v>18900</v>
      </c>
      <c r="F43" s="769">
        <v>226100</v>
      </c>
      <c r="G43" s="786">
        <v>37700</v>
      </c>
      <c r="H43" s="769">
        <v>245000</v>
      </c>
      <c r="I43" s="787">
        <v>56600</v>
      </c>
      <c r="J43" s="770">
        <v>263800</v>
      </c>
      <c r="K43" s="775">
        <v>56600</v>
      </c>
      <c r="L43" s="776">
        <v>18800</v>
      </c>
      <c r="M43" s="770">
        <v>282700</v>
      </c>
      <c r="N43" s="775">
        <v>56600</v>
      </c>
      <c r="O43" s="776">
        <v>37700</v>
      </c>
      <c r="P43" s="770">
        <v>310900</v>
      </c>
      <c r="Q43" s="775">
        <v>56600</v>
      </c>
      <c r="R43" s="776">
        <v>65900</v>
      </c>
      <c r="S43" s="770">
        <v>339100</v>
      </c>
      <c r="T43" s="775">
        <v>56600</v>
      </c>
      <c r="U43" s="776">
        <v>94100</v>
      </c>
      <c r="V43" s="770">
        <v>376800</v>
      </c>
      <c r="W43" s="775">
        <v>56600</v>
      </c>
      <c r="X43" s="776">
        <v>131800</v>
      </c>
      <c r="Y43" s="770">
        <v>423900</v>
      </c>
      <c r="Z43" s="775">
        <v>56600</v>
      </c>
      <c r="AA43" s="776">
        <v>178900</v>
      </c>
    </row>
    <row r="44" spans="1:27" ht="15">
      <c r="A44" s="731"/>
      <c r="B44" s="705"/>
      <c r="C44" s="733"/>
      <c r="D44" s="728"/>
      <c r="E44" s="733"/>
      <c r="F44" s="728"/>
      <c r="G44" s="733"/>
      <c r="H44" s="728"/>
      <c r="I44" s="733"/>
      <c r="J44" s="730"/>
      <c r="K44" s="729"/>
      <c r="L44" s="727"/>
      <c r="M44" s="730"/>
      <c r="N44" s="729"/>
      <c r="O44" s="727"/>
      <c r="P44" s="730"/>
      <c r="Q44" s="729"/>
      <c r="R44" s="727"/>
      <c r="S44" s="730"/>
      <c r="T44" s="729"/>
      <c r="U44" s="727"/>
      <c r="V44" s="730"/>
      <c r="W44" s="729"/>
      <c r="X44" s="727"/>
      <c r="Y44" s="730"/>
      <c r="Z44" s="729"/>
      <c r="AA44" s="727"/>
    </row>
    <row r="45" ht="15.75" thickBot="1"/>
    <row r="46" spans="1:21" ht="15.75" thickBot="1">
      <c r="A46"/>
      <c r="B46"/>
      <c r="C46"/>
      <c r="D46" s="943" t="s">
        <v>202</v>
      </c>
      <c r="E46" s="944"/>
      <c r="F46" s="944"/>
      <c r="G46" s="944"/>
      <c r="H46" s="944"/>
      <c r="I46" s="944"/>
      <c r="J46" s="944"/>
      <c r="K46" s="944"/>
      <c r="L46" s="945"/>
      <c r="M46" s="943" t="s">
        <v>203</v>
      </c>
      <c r="N46" s="944"/>
      <c r="O46" s="944"/>
      <c r="P46" s="944"/>
      <c r="Q46" s="944"/>
      <c r="R46" s="944"/>
      <c r="S46" s="945"/>
      <c r="T46" s="687"/>
      <c r="U46" s="687"/>
    </row>
    <row r="47" spans="1:26" ht="15">
      <c r="A47" s="735"/>
      <c r="B47" s="735"/>
      <c r="C47" s="739" t="s">
        <v>8</v>
      </c>
      <c r="D47" s="740" t="s">
        <v>9</v>
      </c>
      <c r="E47" s="742" t="s">
        <v>9</v>
      </c>
      <c r="F47" s="742" t="s">
        <v>9</v>
      </c>
      <c r="G47" s="742" t="s">
        <v>9</v>
      </c>
      <c r="H47" s="742" t="s">
        <v>9</v>
      </c>
      <c r="I47" s="742" t="s">
        <v>9</v>
      </c>
      <c r="J47" s="792" t="s">
        <v>9</v>
      </c>
      <c r="K47" s="742" t="s">
        <v>9</v>
      </c>
      <c r="L47" s="741" t="s">
        <v>9</v>
      </c>
      <c r="M47" s="792" t="s">
        <v>9</v>
      </c>
      <c r="N47" s="792" t="s">
        <v>9</v>
      </c>
      <c r="O47" s="792" t="s">
        <v>9</v>
      </c>
      <c r="P47" s="742" t="s">
        <v>9</v>
      </c>
      <c r="Q47" s="742" t="s">
        <v>9</v>
      </c>
      <c r="R47" s="741" t="s">
        <v>9</v>
      </c>
      <c r="S47" s="791"/>
      <c r="Y47" s="688">
        <v>1</v>
      </c>
      <c r="Z47" s="115" t="s">
        <v>84</v>
      </c>
    </row>
    <row r="48" spans="1:26" ht="16.5" thickBot="1">
      <c r="A48" s="794" t="s">
        <v>10</v>
      </c>
      <c r="B48" s="790" t="s">
        <v>11</v>
      </c>
      <c r="C48" s="797" t="s">
        <v>9</v>
      </c>
      <c r="D48" s="838">
        <v>1</v>
      </c>
      <c r="E48" s="805">
        <v>2</v>
      </c>
      <c r="F48" s="805">
        <v>3</v>
      </c>
      <c r="G48" s="805">
        <v>4</v>
      </c>
      <c r="H48" s="805">
        <v>5</v>
      </c>
      <c r="I48" s="805">
        <v>6</v>
      </c>
      <c r="J48" s="805">
        <v>7</v>
      </c>
      <c r="K48" s="803">
        <v>8</v>
      </c>
      <c r="L48" s="801">
        <v>9</v>
      </c>
      <c r="M48" s="828">
        <v>4</v>
      </c>
      <c r="N48" s="827">
        <v>5</v>
      </c>
      <c r="O48" s="827">
        <v>6</v>
      </c>
      <c r="P48" s="828">
        <v>7</v>
      </c>
      <c r="Q48" s="828">
        <v>8</v>
      </c>
      <c r="R48" s="810">
        <v>9</v>
      </c>
      <c r="S48" s="793"/>
      <c r="W48" s="115" t="s">
        <v>75</v>
      </c>
      <c r="X48" s="115" t="s">
        <v>76</v>
      </c>
      <c r="Y48" s="115">
        <v>2</v>
      </c>
      <c r="Z48" s="689" t="s">
        <v>81</v>
      </c>
    </row>
    <row r="49" spans="1:26" ht="16.5" thickBot="1">
      <c r="A49" s="795" t="s">
        <v>12</v>
      </c>
      <c r="B49" s="751" t="s">
        <v>51</v>
      </c>
      <c r="C49" s="749">
        <v>58500</v>
      </c>
      <c r="D49" s="804">
        <v>5900</v>
      </c>
      <c r="E49" s="804">
        <v>11700</v>
      </c>
      <c r="F49" s="804">
        <v>17600</v>
      </c>
      <c r="G49" s="804">
        <v>17600</v>
      </c>
      <c r="H49" s="804">
        <v>17600</v>
      </c>
      <c r="I49" s="804">
        <v>17600</v>
      </c>
      <c r="J49" s="753">
        <v>17600</v>
      </c>
      <c r="K49" s="804">
        <v>17600</v>
      </c>
      <c r="L49" s="802">
        <v>17600</v>
      </c>
      <c r="M49" s="836">
        <v>5800</v>
      </c>
      <c r="N49" s="836">
        <v>11700</v>
      </c>
      <c r="O49" s="837">
        <v>20400</v>
      </c>
      <c r="P49" s="829">
        <v>29200</v>
      </c>
      <c r="Q49" s="837">
        <v>40900</v>
      </c>
      <c r="R49" s="750">
        <v>55500</v>
      </c>
      <c r="S49" s="839"/>
      <c r="W49" s="115">
        <v>1</v>
      </c>
      <c r="Y49" s="115">
        <v>3</v>
      </c>
      <c r="Z49" s="689" t="s">
        <v>79</v>
      </c>
    </row>
    <row r="50" spans="1:26" ht="15.75">
      <c r="A50" t="s">
        <v>17</v>
      </c>
      <c r="B50">
        <v>0</v>
      </c>
      <c r="C50"/>
      <c r="D50">
        <v>0</v>
      </c>
      <c r="E50">
        <v>0</v>
      </c>
      <c r="F50">
        <v>0</v>
      </c>
      <c r="G50">
        <v>0</v>
      </c>
      <c r="H50">
        <v>0</v>
      </c>
      <c r="I50">
        <v>0</v>
      </c>
      <c r="J50">
        <v>0</v>
      </c>
      <c r="K50">
        <v>0</v>
      </c>
      <c r="L50">
        <v>0</v>
      </c>
      <c r="M50">
        <v>0</v>
      </c>
      <c r="N50">
        <v>0</v>
      </c>
      <c r="O50">
        <v>0</v>
      </c>
      <c r="P50">
        <v>0</v>
      </c>
      <c r="Q50">
        <v>0</v>
      </c>
      <c r="R50">
        <v>0</v>
      </c>
      <c r="S50"/>
      <c r="W50" s="115">
        <v>2</v>
      </c>
      <c r="Y50" s="115">
        <v>4</v>
      </c>
      <c r="Z50" s="689" t="s">
        <v>82</v>
      </c>
    </row>
    <row r="51" spans="1:23" ht="15">
      <c r="A51" t="s">
        <v>50</v>
      </c>
      <c r="B51">
        <v>0</v>
      </c>
      <c r="C51"/>
      <c r="D51"/>
      <c r="E51"/>
      <c r="F51"/>
      <c r="G51"/>
      <c r="H51"/>
      <c r="I51"/>
      <c r="J51"/>
      <c r="K51"/>
      <c r="L51"/>
      <c r="M51"/>
      <c r="N51"/>
      <c r="O51"/>
      <c r="P51"/>
      <c r="Q51"/>
      <c r="R51"/>
      <c r="S51"/>
      <c r="W51" s="115">
        <v>3</v>
      </c>
    </row>
    <row r="52" spans="1:24" ht="15.75" thickBot="1">
      <c r="A52" s="796" t="s">
        <v>16</v>
      </c>
      <c r="B52"/>
      <c r="C52" s="818" t="s">
        <v>1</v>
      </c>
      <c r="D52" s="819">
        <v>1</v>
      </c>
      <c r="E52" s="819">
        <v>2</v>
      </c>
      <c r="F52" s="819">
        <v>3</v>
      </c>
      <c r="G52" s="819">
        <v>4</v>
      </c>
      <c r="H52" s="819">
        <v>5</v>
      </c>
      <c r="I52" s="819">
        <v>6</v>
      </c>
      <c r="J52" s="819">
        <v>7</v>
      </c>
      <c r="K52" s="819">
        <v>8</v>
      </c>
      <c r="L52" s="801">
        <v>9</v>
      </c>
      <c r="M52" s="814">
        <v>4</v>
      </c>
      <c r="N52" s="814">
        <v>5</v>
      </c>
      <c r="O52" s="814">
        <v>6</v>
      </c>
      <c r="P52" s="814">
        <v>7</v>
      </c>
      <c r="Q52" s="814">
        <v>8</v>
      </c>
      <c r="R52" s="809">
        <v>9</v>
      </c>
      <c r="S52"/>
      <c r="W52" s="115">
        <v>4</v>
      </c>
      <c r="X52" s="115" t="s">
        <v>69</v>
      </c>
    </row>
    <row r="53" spans="1:26" ht="15.75">
      <c r="A53" s="734" t="s">
        <v>13</v>
      </c>
      <c r="B53" s="736">
        <v>1</v>
      </c>
      <c r="C53" s="798">
        <v>67800</v>
      </c>
      <c r="D53" s="806">
        <v>6800</v>
      </c>
      <c r="E53" s="806">
        <v>13600</v>
      </c>
      <c r="F53" s="806">
        <v>20300</v>
      </c>
      <c r="G53" s="806">
        <v>20300</v>
      </c>
      <c r="H53" s="806">
        <v>20300</v>
      </c>
      <c r="I53" s="806">
        <v>20300</v>
      </c>
      <c r="J53" s="840">
        <v>20300</v>
      </c>
      <c r="K53" s="806">
        <v>20300</v>
      </c>
      <c r="L53" s="820">
        <v>20300</v>
      </c>
      <c r="M53" s="843">
        <v>6800</v>
      </c>
      <c r="N53" s="815">
        <v>13600</v>
      </c>
      <c r="O53" s="815">
        <v>23800</v>
      </c>
      <c r="P53" s="815">
        <v>33900</v>
      </c>
      <c r="Q53" s="815">
        <v>47500</v>
      </c>
      <c r="R53" s="811">
        <v>64500</v>
      </c>
      <c r="S53" s="846"/>
      <c r="W53" s="115">
        <v>5</v>
      </c>
      <c r="X53" s="115" t="s">
        <v>70</v>
      </c>
      <c r="Z53" s="732" t="s">
        <v>172</v>
      </c>
    </row>
    <row r="54" spans="1:26" ht="15.75">
      <c r="A54" s="788"/>
      <c r="B54" s="737">
        <v>2</v>
      </c>
      <c r="C54" s="799">
        <v>71900</v>
      </c>
      <c r="D54" s="807">
        <v>7200</v>
      </c>
      <c r="E54" s="807">
        <v>14400</v>
      </c>
      <c r="F54" s="807">
        <v>21600</v>
      </c>
      <c r="G54" s="807">
        <v>21600</v>
      </c>
      <c r="H54" s="807">
        <v>21600</v>
      </c>
      <c r="I54" s="807">
        <v>21600</v>
      </c>
      <c r="J54" s="841">
        <v>21600</v>
      </c>
      <c r="K54" s="807">
        <v>21600</v>
      </c>
      <c r="L54" s="822">
        <v>21600</v>
      </c>
      <c r="M54" s="844">
        <v>7200</v>
      </c>
      <c r="N54" s="816">
        <v>14400</v>
      </c>
      <c r="O54" s="816">
        <v>25100</v>
      </c>
      <c r="P54" s="816">
        <v>35900</v>
      </c>
      <c r="Q54" s="816">
        <v>50300</v>
      </c>
      <c r="R54" s="812">
        <v>68300</v>
      </c>
      <c r="S54" s="847"/>
      <c r="W54" s="115">
        <v>6</v>
      </c>
      <c r="X54" s="115" t="s">
        <v>71</v>
      </c>
      <c r="Z54" s="732" t="s">
        <v>173</v>
      </c>
    </row>
    <row r="55" spans="1:24" ht="15">
      <c r="A55" s="788"/>
      <c r="B55" s="737">
        <v>2.5</v>
      </c>
      <c r="C55" s="799">
        <v>73900</v>
      </c>
      <c r="D55" s="807">
        <v>7400</v>
      </c>
      <c r="E55" s="807">
        <v>14800</v>
      </c>
      <c r="F55" s="807">
        <v>22100</v>
      </c>
      <c r="G55" s="807">
        <v>22100</v>
      </c>
      <c r="H55" s="807">
        <v>22100</v>
      </c>
      <c r="I55" s="807">
        <v>22100</v>
      </c>
      <c r="J55" s="841">
        <v>22100</v>
      </c>
      <c r="K55" s="807">
        <v>22100</v>
      </c>
      <c r="L55" s="822">
        <v>22100</v>
      </c>
      <c r="M55" s="844">
        <v>7400</v>
      </c>
      <c r="N55" s="816">
        <v>14800</v>
      </c>
      <c r="O55" s="816">
        <v>25900</v>
      </c>
      <c r="P55" s="816">
        <v>36900</v>
      </c>
      <c r="Q55" s="816">
        <v>51700</v>
      </c>
      <c r="R55" s="812">
        <v>70200</v>
      </c>
      <c r="S55" s="847"/>
      <c r="W55" s="115">
        <v>7</v>
      </c>
      <c r="X55" s="115" t="s">
        <v>72</v>
      </c>
    </row>
    <row r="56" spans="1:24" ht="15">
      <c r="A56" s="788"/>
      <c r="B56" s="737">
        <v>3</v>
      </c>
      <c r="C56" s="799">
        <v>75800</v>
      </c>
      <c r="D56" s="807">
        <v>7600</v>
      </c>
      <c r="E56" s="807">
        <v>15200</v>
      </c>
      <c r="F56" s="807">
        <v>22700</v>
      </c>
      <c r="G56" s="807">
        <v>22700</v>
      </c>
      <c r="H56" s="807">
        <v>22700</v>
      </c>
      <c r="I56" s="807">
        <v>22700</v>
      </c>
      <c r="J56" s="841">
        <v>22700</v>
      </c>
      <c r="K56" s="807">
        <v>22700</v>
      </c>
      <c r="L56" s="822">
        <v>22700</v>
      </c>
      <c r="M56" s="844">
        <v>7600</v>
      </c>
      <c r="N56" s="816">
        <v>15200</v>
      </c>
      <c r="O56" s="816">
        <v>26600</v>
      </c>
      <c r="P56" s="816">
        <v>37900</v>
      </c>
      <c r="Q56" s="816">
        <v>53100</v>
      </c>
      <c r="R56" s="812">
        <v>72100</v>
      </c>
      <c r="S56" s="847"/>
      <c r="W56" s="115">
        <v>8</v>
      </c>
      <c r="X56" s="115" t="s">
        <v>73</v>
      </c>
    </row>
    <row r="57" spans="1:24" ht="15">
      <c r="A57" s="788"/>
      <c r="B57" s="737">
        <v>3.5</v>
      </c>
      <c r="C57" s="799">
        <v>78000</v>
      </c>
      <c r="D57" s="807">
        <v>7800</v>
      </c>
      <c r="E57" s="807">
        <v>15600</v>
      </c>
      <c r="F57" s="807">
        <v>23400</v>
      </c>
      <c r="G57" s="807">
        <v>23400</v>
      </c>
      <c r="H57" s="807">
        <v>23400</v>
      </c>
      <c r="I57" s="807">
        <v>23400</v>
      </c>
      <c r="J57" s="841">
        <v>23400</v>
      </c>
      <c r="K57" s="807">
        <v>23400</v>
      </c>
      <c r="L57" s="822">
        <v>23400</v>
      </c>
      <c r="M57" s="844">
        <v>7800</v>
      </c>
      <c r="N57" s="816">
        <v>15600</v>
      </c>
      <c r="O57" s="816">
        <v>27300</v>
      </c>
      <c r="P57" s="816">
        <v>39000</v>
      </c>
      <c r="Q57" s="816">
        <v>54600</v>
      </c>
      <c r="R57" s="812">
        <v>74200</v>
      </c>
      <c r="S57" s="847"/>
      <c r="W57" s="115">
        <v>9</v>
      </c>
      <c r="X57" s="115" t="s">
        <v>74</v>
      </c>
    </row>
    <row r="58" spans="1:24" ht="15">
      <c r="A58" s="788"/>
      <c r="B58" s="737">
        <v>4</v>
      </c>
      <c r="C58" s="799">
        <v>80200</v>
      </c>
      <c r="D58" s="807">
        <v>8000</v>
      </c>
      <c r="E58" s="807">
        <v>16000</v>
      </c>
      <c r="F58" s="807">
        <v>24100</v>
      </c>
      <c r="G58" s="807">
        <v>24100</v>
      </c>
      <c r="H58" s="807">
        <v>24100</v>
      </c>
      <c r="I58" s="807">
        <v>24100</v>
      </c>
      <c r="J58" s="841">
        <v>24100</v>
      </c>
      <c r="K58" s="807">
        <v>24100</v>
      </c>
      <c r="L58" s="822">
        <v>24100</v>
      </c>
      <c r="M58" s="844">
        <v>8000</v>
      </c>
      <c r="N58" s="816">
        <v>16000</v>
      </c>
      <c r="O58" s="816">
        <v>28000</v>
      </c>
      <c r="P58" s="816">
        <v>40100</v>
      </c>
      <c r="Q58" s="816">
        <v>56100</v>
      </c>
      <c r="R58" s="812">
        <v>76200</v>
      </c>
      <c r="S58" s="847"/>
      <c r="W58" s="115" t="s">
        <v>92</v>
      </c>
      <c r="X58" s="115" t="s">
        <v>92</v>
      </c>
    </row>
    <row r="59" spans="1:19" ht="15">
      <c r="A59" s="788"/>
      <c r="B59" s="737">
        <v>4.5</v>
      </c>
      <c r="C59" s="799">
        <v>82200</v>
      </c>
      <c r="D59" s="807">
        <v>8200</v>
      </c>
      <c r="E59" s="807">
        <v>16400</v>
      </c>
      <c r="F59" s="807">
        <v>24600</v>
      </c>
      <c r="G59" s="807">
        <v>24600</v>
      </c>
      <c r="H59" s="807">
        <v>24600</v>
      </c>
      <c r="I59" s="807">
        <v>24600</v>
      </c>
      <c r="J59" s="841">
        <v>24600</v>
      </c>
      <c r="K59" s="807">
        <v>24600</v>
      </c>
      <c r="L59" s="822">
        <v>24600</v>
      </c>
      <c r="M59" s="844">
        <v>8200</v>
      </c>
      <c r="N59" s="816">
        <v>16500</v>
      </c>
      <c r="O59" s="816">
        <v>28800</v>
      </c>
      <c r="P59" s="816">
        <v>41100</v>
      </c>
      <c r="Q59" s="816">
        <v>57500</v>
      </c>
      <c r="R59" s="812">
        <v>78100</v>
      </c>
      <c r="S59" s="847"/>
    </row>
    <row r="60" spans="1:24" ht="15">
      <c r="A60" s="788"/>
      <c r="B60" s="737">
        <v>5</v>
      </c>
      <c r="C60" s="799">
        <v>84100</v>
      </c>
      <c r="D60" s="807">
        <v>8400</v>
      </c>
      <c r="E60" s="807">
        <v>16800</v>
      </c>
      <c r="F60" s="807">
        <v>25200</v>
      </c>
      <c r="G60" s="807">
        <v>25200</v>
      </c>
      <c r="H60" s="807">
        <v>25200</v>
      </c>
      <c r="I60" s="807">
        <v>25200</v>
      </c>
      <c r="J60" s="841">
        <v>25200</v>
      </c>
      <c r="K60" s="807">
        <v>25200</v>
      </c>
      <c r="L60" s="822">
        <v>25200</v>
      </c>
      <c r="M60" s="844">
        <v>8400</v>
      </c>
      <c r="N60" s="816">
        <v>16900</v>
      </c>
      <c r="O60" s="816">
        <v>29500</v>
      </c>
      <c r="P60" s="816">
        <v>42100</v>
      </c>
      <c r="Q60" s="816">
        <v>58900</v>
      </c>
      <c r="R60" s="812">
        <v>79900</v>
      </c>
      <c r="S60" s="847"/>
      <c r="W60" s="115">
        <v>1</v>
      </c>
      <c r="X60" s="115" t="s">
        <v>84</v>
      </c>
    </row>
    <row r="61" spans="1:24" ht="15.75">
      <c r="A61" s="788"/>
      <c r="B61" s="754">
        <v>5.5</v>
      </c>
      <c r="C61" s="799">
        <v>86200</v>
      </c>
      <c r="D61" s="807">
        <v>8600</v>
      </c>
      <c r="E61" s="807">
        <v>17200</v>
      </c>
      <c r="F61" s="807">
        <v>25800</v>
      </c>
      <c r="G61" s="807">
        <v>25800</v>
      </c>
      <c r="H61" s="807">
        <v>25800</v>
      </c>
      <c r="I61" s="807">
        <v>25800</v>
      </c>
      <c r="J61" s="841">
        <v>25800</v>
      </c>
      <c r="K61" s="807">
        <v>25800</v>
      </c>
      <c r="L61" s="822">
        <v>25800</v>
      </c>
      <c r="M61" s="844">
        <v>8600</v>
      </c>
      <c r="N61" s="816">
        <v>17300</v>
      </c>
      <c r="O61" s="816">
        <v>30200</v>
      </c>
      <c r="P61" s="816">
        <v>43100</v>
      </c>
      <c r="Q61" s="816">
        <v>60300</v>
      </c>
      <c r="R61" s="812">
        <v>81900</v>
      </c>
      <c r="S61" s="849"/>
      <c r="W61" s="115">
        <v>2</v>
      </c>
      <c r="X61" s="732" t="s">
        <v>172</v>
      </c>
    </row>
    <row r="62" spans="1:24" ht="15.75">
      <c r="A62" s="788"/>
      <c r="B62" s="754">
        <v>6</v>
      </c>
      <c r="C62" s="799">
        <v>88200</v>
      </c>
      <c r="D62" s="807">
        <v>8800</v>
      </c>
      <c r="E62" s="807">
        <v>17600</v>
      </c>
      <c r="F62" s="807">
        <v>26500</v>
      </c>
      <c r="G62" s="807">
        <v>26500</v>
      </c>
      <c r="H62" s="807">
        <v>26500</v>
      </c>
      <c r="I62" s="807">
        <v>26500</v>
      </c>
      <c r="J62" s="841">
        <v>26500</v>
      </c>
      <c r="K62" s="807">
        <v>26500</v>
      </c>
      <c r="L62" s="822">
        <v>26500</v>
      </c>
      <c r="M62" s="844">
        <v>8800</v>
      </c>
      <c r="N62" s="816">
        <v>17600</v>
      </c>
      <c r="O62" s="816">
        <v>30800</v>
      </c>
      <c r="P62" s="816">
        <v>44100</v>
      </c>
      <c r="Q62" s="816">
        <v>61700</v>
      </c>
      <c r="R62" s="812">
        <v>83800</v>
      </c>
      <c r="S62" s="849"/>
      <c r="W62" s="115">
        <v>3</v>
      </c>
      <c r="X62" s="732" t="s">
        <v>174</v>
      </c>
    </row>
    <row r="63" spans="1:19" ht="15.75" thickBot="1">
      <c r="A63" s="789"/>
      <c r="B63" s="738">
        <v>6.5</v>
      </c>
      <c r="C63" s="800">
        <v>90700</v>
      </c>
      <c r="D63" s="808">
        <v>9100</v>
      </c>
      <c r="E63" s="808">
        <v>18100</v>
      </c>
      <c r="F63" s="808">
        <v>27300</v>
      </c>
      <c r="G63" s="808">
        <v>27300</v>
      </c>
      <c r="H63" s="808">
        <v>27300</v>
      </c>
      <c r="I63" s="808">
        <v>27300</v>
      </c>
      <c r="J63" s="842">
        <v>27300</v>
      </c>
      <c r="K63" s="808">
        <v>27300</v>
      </c>
      <c r="L63" s="824">
        <v>27300</v>
      </c>
      <c r="M63" s="845">
        <v>9000</v>
      </c>
      <c r="N63" s="817">
        <v>18100</v>
      </c>
      <c r="O63" s="817">
        <v>31700</v>
      </c>
      <c r="P63" s="817">
        <v>45300</v>
      </c>
      <c r="Q63" s="817">
        <v>63400</v>
      </c>
      <c r="R63" s="813">
        <v>86100</v>
      </c>
      <c r="S63" s="848"/>
    </row>
    <row r="64" spans="1:19" ht="15">
      <c r="A64"/>
      <c r="B64"/>
      <c r="C64"/>
      <c r="D64">
        <v>0</v>
      </c>
      <c r="E64">
        <v>0</v>
      </c>
      <c r="F64">
        <v>0</v>
      </c>
      <c r="G64">
        <v>0</v>
      </c>
      <c r="H64">
        <v>0</v>
      </c>
      <c r="I64">
        <v>0</v>
      </c>
      <c r="J64">
        <v>0</v>
      </c>
      <c r="K64">
        <v>0</v>
      </c>
      <c r="L64">
        <v>0</v>
      </c>
      <c r="M64">
        <v>0</v>
      </c>
      <c r="N64">
        <v>0</v>
      </c>
      <c r="O64">
        <v>0</v>
      </c>
      <c r="P64">
        <v>0</v>
      </c>
      <c r="Q64">
        <v>0</v>
      </c>
      <c r="R64">
        <v>0</v>
      </c>
      <c r="S64"/>
    </row>
    <row r="65" spans="1:19" ht="15">
      <c r="A65" t="s">
        <v>17</v>
      </c>
      <c r="B65">
        <v>0</v>
      </c>
      <c r="C65"/>
      <c r="D65"/>
      <c r="E65"/>
      <c r="F65"/>
      <c r="G65"/>
      <c r="H65"/>
      <c r="I65"/>
      <c r="J65"/>
      <c r="K65"/>
      <c r="L65"/>
      <c r="M65"/>
      <c r="N65"/>
      <c r="O65"/>
      <c r="P65"/>
      <c r="Q65"/>
      <c r="R65"/>
      <c r="S65"/>
    </row>
    <row r="66" spans="1:19" ht="15">
      <c r="A66" t="s">
        <v>0</v>
      </c>
      <c r="B66">
        <v>0</v>
      </c>
      <c r="C66"/>
      <c r="D66"/>
      <c r="E66"/>
      <c r="F66"/>
      <c r="G66"/>
      <c r="H66"/>
      <c r="I66"/>
      <c r="J66"/>
      <c r="K66"/>
      <c r="L66"/>
      <c r="M66"/>
      <c r="N66"/>
      <c r="O66"/>
      <c r="P66"/>
      <c r="Q66"/>
      <c r="R66"/>
      <c r="S66"/>
    </row>
    <row r="67" spans="1:19" ht="15">
      <c r="A67"/>
      <c r="B67"/>
      <c r="C67"/>
      <c r="D67"/>
      <c r="E67"/>
      <c r="F67"/>
      <c r="G67"/>
      <c r="H67"/>
      <c r="I67"/>
      <c r="J67"/>
      <c r="K67"/>
      <c r="L67"/>
      <c r="M67"/>
      <c r="N67"/>
      <c r="O67"/>
      <c r="P67"/>
      <c r="Q67"/>
      <c r="R67"/>
      <c r="S67"/>
    </row>
    <row r="68" spans="1:19" ht="15">
      <c r="A68" s="690"/>
      <c r="B68" s="680"/>
      <c r="C68" s="681"/>
      <c r="D68" s="682"/>
      <c r="E68" s="682"/>
      <c r="F68" s="682"/>
      <c r="G68" s="682"/>
      <c r="H68" s="682"/>
      <c r="I68" s="698"/>
      <c r="J68" s="682"/>
      <c r="K68" s="682"/>
      <c r="L68" s="691"/>
      <c r="M68" s="692"/>
      <c r="N68" s="693"/>
      <c r="O68" s="693"/>
      <c r="P68" s="693"/>
      <c r="Q68" s="693"/>
      <c r="R68" s="683"/>
      <c r="S68" s="694"/>
    </row>
    <row r="69" spans="1:19" ht="15.75" thickBot="1">
      <c r="A69" s="796" t="s">
        <v>16</v>
      </c>
      <c r="B69"/>
      <c r="C69" s="818" t="s">
        <v>1</v>
      </c>
      <c r="D69" s="819">
        <v>1</v>
      </c>
      <c r="E69" s="819">
        <v>2</v>
      </c>
      <c r="F69" s="819">
        <v>3</v>
      </c>
      <c r="G69" s="819">
        <v>4</v>
      </c>
      <c r="H69" s="819">
        <v>5</v>
      </c>
      <c r="I69" s="819">
        <v>6</v>
      </c>
      <c r="J69" s="819">
        <v>7</v>
      </c>
      <c r="K69" s="819">
        <v>8</v>
      </c>
      <c r="L69" s="801">
        <v>9</v>
      </c>
      <c r="M69" s="814">
        <v>4</v>
      </c>
      <c r="N69" s="814">
        <v>5</v>
      </c>
      <c r="O69" s="814">
        <v>6</v>
      </c>
      <c r="P69" s="814">
        <v>7</v>
      </c>
      <c r="Q69" s="814">
        <v>8</v>
      </c>
      <c r="R69" s="814">
        <v>9</v>
      </c>
      <c r="S69"/>
    </row>
    <row r="70" spans="1:19" ht="15.75" thickBot="1">
      <c r="A70" s="734" t="s">
        <v>14</v>
      </c>
      <c r="B70" s="736">
        <v>1</v>
      </c>
      <c r="C70" s="798">
        <v>84200</v>
      </c>
      <c r="D70" s="806">
        <v>8400</v>
      </c>
      <c r="E70" s="806">
        <v>16800</v>
      </c>
      <c r="F70" s="806">
        <v>25300</v>
      </c>
      <c r="G70" s="806">
        <v>25300</v>
      </c>
      <c r="H70" s="806">
        <v>25300</v>
      </c>
      <c r="I70" s="821">
        <v>25300</v>
      </c>
      <c r="J70" s="806">
        <v>25300</v>
      </c>
      <c r="K70" s="806">
        <v>25300</v>
      </c>
      <c r="L70" s="820">
        <v>25300</v>
      </c>
      <c r="M70" s="843">
        <v>8400</v>
      </c>
      <c r="N70" s="815">
        <v>16800</v>
      </c>
      <c r="O70" s="815">
        <v>29400</v>
      </c>
      <c r="P70" s="815">
        <v>42100</v>
      </c>
      <c r="Q70" s="815">
        <v>58900</v>
      </c>
      <c r="R70" s="811">
        <v>80000</v>
      </c>
      <c r="S70" s="846"/>
    </row>
    <row r="71" spans="1:19" ht="15">
      <c r="A71" s="788"/>
      <c r="B71" s="764">
        <v>1.5</v>
      </c>
      <c r="C71" s="798">
        <v>86300</v>
      </c>
      <c r="D71" s="806">
        <v>8600</v>
      </c>
      <c r="E71" s="806">
        <v>17200</v>
      </c>
      <c r="F71" s="806">
        <v>25900</v>
      </c>
      <c r="G71" s="806">
        <v>25900</v>
      </c>
      <c r="H71" s="806">
        <v>25900</v>
      </c>
      <c r="I71" s="821">
        <v>25900</v>
      </c>
      <c r="J71" s="806">
        <v>25900</v>
      </c>
      <c r="K71" s="806">
        <v>25900</v>
      </c>
      <c r="L71" s="820">
        <v>25900</v>
      </c>
      <c r="M71" s="843">
        <v>8600</v>
      </c>
      <c r="N71" s="815">
        <v>17200</v>
      </c>
      <c r="O71" s="815">
        <v>30100</v>
      </c>
      <c r="P71" s="815">
        <v>43100</v>
      </c>
      <c r="Q71" s="815">
        <v>60300</v>
      </c>
      <c r="R71" s="811">
        <v>81900</v>
      </c>
      <c r="S71" s="850"/>
    </row>
    <row r="72" spans="1:19" ht="15">
      <c r="A72" s="788"/>
      <c r="B72" s="737">
        <v>2</v>
      </c>
      <c r="C72" s="799">
        <v>88300</v>
      </c>
      <c r="D72" s="807">
        <v>8800</v>
      </c>
      <c r="E72" s="807">
        <v>17700</v>
      </c>
      <c r="F72" s="807">
        <v>26500</v>
      </c>
      <c r="G72" s="807">
        <v>26500</v>
      </c>
      <c r="H72" s="807">
        <v>26500</v>
      </c>
      <c r="I72" s="823">
        <v>26500</v>
      </c>
      <c r="J72" s="807">
        <v>26500</v>
      </c>
      <c r="K72" s="807">
        <v>26500</v>
      </c>
      <c r="L72" s="822">
        <v>26500</v>
      </c>
      <c r="M72" s="844">
        <v>8800</v>
      </c>
      <c r="N72" s="816">
        <v>17700</v>
      </c>
      <c r="O72" s="816">
        <v>30900</v>
      </c>
      <c r="P72" s="816">
        <v>44100</v>
      </c>
      <c r="Q72" s="816">
        <v>61800</v>
      </c>
      <c r="R72" s="812">
        <v>83900</v>
      </c>
      <c r="S72" s="847"/>
    </row>
    <row r="73" spans="1:19" ht="15">
      <c r="A73" s="788"/>
      <c r="B73" s="737">
        <v>2.5</v>
      </c>
      <c r="C73" s="799">
        <v>90800</v>
      </c>
      <c r="D73" s="807">
        <v>9000</v>
      </c>
      <c r="E73" s="807">
        <v>18100</v>
      </c>
      <c r="F73" s="807">
        <v>27200</v>
      </c>
      <c r="G73" s="807">
        <v>27200</v>
      </c>
      <c r="H73" s="807">
        <v>27200</v>
      </c>
      <c r="I73" s="823">
        <v>27200</v>
      </c>
      <c r="J73" s="807">
        <v>27200</v>
      </c>
      <c r="K73" s="807">
        <v>27200</v>
      </c>
      <c r="L73" s="822">
        <v>27200</v>
      </c>
      <c r="M73" s="844">
        <v>9100</v>
      </c>
      <c r="N73" s="816">
        <v>18200</v>
      </c>
      <c r="O73" s="816">
        <v>31800</v>
      </c>
      <c r="P73" s="816">
        <v>45400</v>
      </c>
      <c r="Q73" s="816">
        <v>63500</v>
      </c>
      <c r="R73" s="812">
        <v>86200</v>
      </c>
      <c r="S73" s="847"/>
    </row>
    <row r="74" spans="1:19" ht="15">
      <c r="A74" s="788"/>
      <c r="B74" s="737">
        <v>3</v>
      </c>
      <c r="C74" s="799">
        <v>93200</v>
      </c>
      <c r="D74" s="807">
        <v>9300</v>
      </c>
      <c r="E74" s="807">
        <v>18600</v>
      </c>
      <c r="F74" s="807">
        <v>28000</v>
      </c>
      <c r="G74" s="807">
        <v>28000</v>
      </c>
      <c r="H74" s="807">
        <v>28000</v>
      </c>
      <c r="I74" s="823">
        <v>28000</v>
      </c>
      <c r="J74" s="807">
        <v>28000</v>
      </c>
      <c r="K74" s="807">
        <v>28000</v>
      </c>
      <c r="L74" s="822">
        <v>28000</v>
      </c>
      <c r="M74" s="844">
        <v>9300</v>
      </c>
      <c r="N74" s="816">
        <v>18600</v>
      </c>
      <c r="O74" s="816">
        <v>32600</v>
      </c>
      <c r="P74" s="816">
        <v>46600</v>
      </c>
      <c r="Q74" s="816">
        <v>65200</v>
      </c>
      <c r="R74" s="812">
        <v>88500</v>
      </c>
      <c r="S74" s="847"/>
    </row>
    <row r="75" spans="1:19" ht="15">
      <c r="A75" s="788"/>
      <c r="B75" s="737">
        <v>3.5</v>
      </c>
      <c r="C75" s="799">
        <v>96100</v>
      </c>
      <c r="D75" s="807">
        <v>9600</v>
      </c>
      <c r="E75" s="807">
        <v>19200</v>
      </c>
      <c r="F75" s="807">
        <v>28900</v>
      </c>
      <c r="G75" s="807">
        <v>28900</v>
      </c>
      <c r="H75" s="807">
        <v>28900</v>
      </c>
      <c r="I75" s="823">
        <v>28900</v>
      </c>
      <c r="J75" s="807">
        <v>28900</v>
      </c>
      <c r="K75" s="807">
        <v>28900</v>
      </c>
      <c r="L75" s="822">
        <v>28900</v>
      </c>
      <c r="M75" s="844">
        <v>9600</v>
      </c>
      <c r="N75" s="816">
        <v>19200</v>
      </c>
      <c r="O75" s="816">
        <v>33600</v>
      </c>
      <c r="P75" s="816">
        <v>48000</v>
      </c>
      <c r="Q75" s="816">
        <v>67200</v>
      </c>
      <c r="R75" s="812">
        <v>91300</v>
      </c>
      <c r="S75" s="847"/>
    </row>
    <row r="76" spans="1:19" ht="15">
      <c r="A76" s="788"/>
      <c r="B76" s="737">
        <v>4</v>
      </c>
      <c r="C76" s="799">
        <v>99000</v>
      </c>
      <c r="D76" s="807">
        <v>9900</v>
      </c>
      <c r="E76" s="807">
        <v>19800</v>
      </c>
      <c r="F76" s="807">
        <v>29700</v>
      </c>
      <c r="G76" s="807">
        <v>29700</v>
      </c>
      <c r="H76" s="807">
        <v>29700</v>
      </c>
      <c r="I76" s="823">
        <v>29700</v>
      </c>
      <c r="J76" s="807">
        <v>29700</v>
      </c>
      <c r="K76" s="807">
        <v>29700</v>
      </c>
      <c r="L76" s="822">
        <v>29700</v>
      </c>
      <c r="M76" s="844">
        <v>9900</v>
      </c>
      <c r="N76" s="816">
        <v>19800</v>
      </c>
      <c r="O76" s="816">
        <v>34700</v>
      </c>
      <c r="P76" s="816">
        <v>49500</v>
      </c>
      <c r="Q76" s="816">
        <v>69300</v>
      </c>
      <c r="R76" s="812">
        <v>94100</v>
      </c>
      <c r="S76" s="847"/>
    </row>
    <row r="77" spans="1:19" ht="15">
      <c r="A77" s="788"/>
      <c r="B77" s="754">
        <v>4.5</v>
      </c>
      <c r="C77" s="799">
        <v>102900</v>
      </c>
      <c r="D77" s="807">
        <v>10300</v>
      </c>
      <c r="E77" s="807">
        <v>20500</v>
      </c>
      <c r="F77" s="807">
        <v>30800</v>
      </c>
      <c r="G77" s="807">
        <v>30800</v>
      </c>
      <c r="H77" s="807">
        <v>30800</v>
      </c>
      <c r="I77" s="823">
        <v>30800</v>
      </c>
      <c r="J77" s="807">
        <v>30800</v>
      </c>
      <c r="K77" s="807">
        <v>30800</v>
      </c>
      <c r="L77" s="822">
        <v>30800</v>
      </c>
      <c r="M77" s="844">
        <v>10300</v>
      </c>
      <c r="N77" s="816">
        <v>20600</v>
      </c>
      <c r="O77" s="816">
        <v>36100</v>
      </c>
      <c r="P77" s="816">
        <v>51500</v>
      </c>
      <c r="Q77" s="816">
        <v>72000</v>
      </c>
      <c r="R77" s="812">
        <v>97800</v>
      </c>
      <c r="S77" s="849"/>
    </row>
    <row r="78" spans="1:19" ht="15">
      <c r="A78" s="788"/>
      <c r="B78" s="754">
        <v>5</v>
      </c>
      <c r="C78" s="799">
        <v>106700</v>
      </c>
      <c r="D78" s="807">
        <v>10700</v>
      </c>
      <c r="E78" s="807">
        <v>21300</v>
      </c>
      <c r="F78" s="807">
        <v>32000</v>
      </c>
      <c r="G78" s="807">
        <v>32000</v>
      </c>
      <c r="H78" s="807">
        <v>32000</v>
      </c>
      <c r="I78" s="823">
        <v>32000</v>
      </c>
      <c r="J78" s="807">
        <v>32000</v>
      </c>
      <c r="K78" s="807">
        <v>32000</v>
      </c>
      <c r="L78" s="822">
        <v>32000</v>
      </c>
      <c r="M78" s="844">
        <v>10700</v>
      </c>
      <c r="N78" s="816">
        <v>21400</v>
      </c>
      <c r="O78" s="816">
        <v>37400</v>
      </c>
      <c r="P78" s="816">
        <v>53400</v>
      </c>
      <c r="Q78" s="816">
        <v>74700</v>
      </c>
      <c r="R78" s="812">
        <v>101400</v>
      </c>
      <c r="S78" s="849"/>
    </row>
    <row r="79" spans="1:19" ht="15.75" thickBot="1">
      <c r="A79" s="789"/>
      <c r="B79" s="738">
        <v>5.5</v>
      </c>
      <c r="C79" s="800">
        <v>110600</v>
      </c>
      <c r="D79" s="808">
        <v>11100</v>
      </c>
      <c r="E79" s="808">
        <v>22100</v>
      </c>
      <c r="F79" s="808">
        <v>33200</v>
      </c>
      <c r="G79" s="808">
        <v>33200</v>
      </c>
      <c r="H79" s="808">
        <v>33200</v>
      </c>
      <c r="I79" s="825">
        <v>33200</v>
      </c>
      <c r="J79" s="808">
        <v>33200</v>
      </c>
      <c r="K79" s="808">
        <v>33200</v>
      </c>
      <c r="L79" s="824">
        <v>33200</v>
      </c>
      <c r="M79" s="845">
        <v>11100</v>
      </c>
      <c r="N79" s="817">
        <v>22200</v>
      </c>
      <c r="O79" s="817">
        <v>38700</v>
      </c>
      <c r="P79" s="817">
        <v>55300</v>
      </c>
      <c r="Q79" s="817">
        <v>77400</v>
      </c>
      <c r="R79" s="813">
        <v>105100</v>
      </c>
      <c r="S79" s="848"/>
    </row>
    <row r="80" spans="1:19" ht="15">
      <c r="A80"/>
      <c r="B80"/>
      <c r="C80" s="818"/>
      <c r="D80" s="818">
        <v>0</v>
      </c>
      <c r="E80" s="818">
        <v>0</v>
      </c>
      <c r="F80" s="818">
        <v>0</v>
      </c>
      <c r="G80" s="818">
        <v>0</v>
      </c>
      <c r="H80" s="818">
        <v>0</v>
      </c>
      <c r="I80" s="818">
        <v>0</v>
      </c>
      <c r="J80" s="818">
        <v>0</v>
      </c>
      <c r="K80" s="818">
        <v>0</v>
      </c>
      <c r="L80" s="818">
        <v>0</v>
      </c>
      <c r="M80" s="826">
        <v>0</v>
      </c>
      <c r="N80" s="826">
        <v>0</v>
      </c>
      <c r="O80" s="826">
        <v>0</v>
      </c>
      <c r="P80" s="826">
        <v>0</v>
      </c>
      <c r="Q80" s="826">
        <v>0</v>
      </c>
      <c r="R80" s="826">
        <v>0</v>
      </c>
      <c r="S80"/>
    </row>
    <row r="81" spans="1:19" ht="15">
      <c r="A81" t="s">
        <v>11</v>
      </c>
      <c r="B81">
        <v>0</v>
      </c>
      <c r="C81"/>
      <c r="D81"/>
      <c r="E81"/>
      <c r="F81"/>
      <c r="G81"/>
      <c r="H81"/>
      <c r="I81"/>
      <c r="J81"/>
      <c r="K81"/>
      <c r="L81"/>
      <c r="M81"/>
      <c r="N81"/>
      <c r="O81"/>
      <c r="P81"/>
      <c r="Q81"/>
      <c r="R81"/>
      <c r="S81"/>
    </row>
    <row r="82" spans="1:19" ht="15">
      <c r="A82" t="s">
        <v>9</v>
      </c>
      <c r="B82">
        <v>0</v>
      </c>
      <c r="C82"/>
      <c r="D82"/>
      <c r="E82"/>
      <c r="F82"/>
      <c r="G82"/>
      <c r="H82"/>
      <c r="I82"/>
      <c r="J82"/>
      <c r="K82"/>
      <c r="L82"/>
      <c r="M82"/>
      <c r="N82"/>
      <c r="O82"/>
      <c r="P82"/>
      <c r="Q82"/>
      <c r="R82"/>
      <c r="S82"/>
    </row>
    <row r="83" spans="1:19" ht="15.75" thickBot="1">
      <c r="A83" s="699"/>
      <c r="B83" s="680"/>
      <c r="C83" s="681"/>
      <c r="D83" s="682"/>
      <c r="E83" s="682"/>
      <c r="F83" s="682"/>
      <c r="G83" s="682"/>
      <c r="H83" s="682"/>
      <c r="I83" s="698"/>
      <c r="J83" s="682"/>
      <c r="K83" s="682"/>
      <c r="L83" s="691"/>
      <c r="M83" s="692"/>
      <c r="N83" s="693"/>
      <c r="O83" s="693"/>
      <c r="P83" s="693"/>
      <c r="Q83" s="693"/>
      <c r="R83" s="683"/>
      <c r="S83" s="697"/>
    </row>
    <row r="84" spans="1:19" ht="15.75" thickBot="1">
      <c r="A84" s="700"/>
      <c r="B84" s="701"/>
      <c r="C84" s="702"/>
      <c r="D84" s="703"/>
      <c r="E84" s="703"/>
      <c r="F84" s="703"/>
      <c r="G84" s="703"/>
      <c r="H84" s="703"/>
      <c r="I84" s="704"/>
      <c r="J84" s="684"/>
      <c r="K84" s="684"/>
      <c r="L84" s="686"/>
      <c r="M84" s="695"/>
      <c r="N84" s="696"/>
      <c r="O84" s="696"/>
      <c r="P84" s="696"/>
      <c r="Q84" s="696"/>
      <c r="R84" s="685"/>
      <c r="S84" s="705"/>
    </row>
    <row r="85" spans="1:19" ht="15.75" thickBot="1">
      <c r="A85" s="796" t="s">
        <v>16</v>
      </c>
      <c r="B85"/>
      <c r="C85" s="818" t="s">
        <v>1</v>
      </c>
      <c r="D85" s="819">
        <v>1</v>
      </c>
      <c r="E85" s="819">
        <v>2</v>
      </c>
      <c r="F85" s="819">
        <v>3</v>
      </c>
      <c r="G85" s="819">
        <v>4</v>
      </c>
      <c r="H85" s="819">
        <v>5</v>
      </c>
      <c r="I85" s="819">
        <v>6</v>
      </c>
      <c r="J85" s="819">
        <v>7</v>
      </c>
      <c r="K85" s="819">
        <v>8</v>
      </c>
      <c r="L85" s="801">
        <v>9</v>
      </c>
      <c r="M85" s="814">
        <v>4</v>
      </c>
      <c r="N85" s="814">
        <v>5</v>
      </c>
      <c r="O85" s="814">
        <v>6</v>
      </c>
      <c r="P85" s="814">
        <v>7</v>
      </c>
      <c r="Q85" s="814">
        <v>8</v>
      </c>
      <c r="R85" s="809">
        <v>9</v>
      </c>
      <c r="S85"/>
    </row>
    <row r="86" spans="1:19" ht="15.75" thickBot="1">
      <c r="A86" s="734" t="s">
        <v>15</v>
      </c>
      <c r="B86" s="736">
        <v>1</v>
      </c>
      <c r="C86" s="798">
        <v>99100</v>
      </c>
      <c r="D86" s="806">
        <v>9900</v>
      </c>
      <c r="E86" s="806">
        <v>19800</v>
      </c>
      <c r="F86" s="806">
        <v>29700</v>
      </c>
      <c r="G86" s="806">
        <v>29700</v>
      </c>
      <c r="H86" s="806">
        <v>29700</v>
      </c>
      <c r="I86" s="821">
        <v>29700</v>
      </c>
      <c r="J86" s="806">
        <v>29700</v>
      </c>
      <c r="K86" s="806">
        <v>29700</v>
      </c>
      <c r="L86" s="820">
        <v>29700</v>
      </c>
      <c r="M86" s="843">
        <v>9900</v>
      </c>
      <c r="N86" s="815">
        <v>19900</v>
      </c>
      <c r="O86" s="815">
        <v>34700</v>
      </c>
      <c r="P86" s="815">
        <v>49600</v>
      </c>
      <c r="Q86" s="815">
        <v>69400</v>
      </c>
      <c r="R86" s="811">
        <v>94200</v>
      </c>
      <c r="S86" s="846"/>
    </row>
    <row r="87" spans="1:19" ht="15">
      <c r="A87" s="788"/>
      <c r="B87" s="764">
        <v>1.5</v>
      </c>
      <c r="C87" s="798">
        <v>103000</v>
      </c>
      <c r="D87" s="806">
        <v>10300</v>
      </c>
      <c r="E87" s="806">
        <v>20600</v>
      </c>
      <c r="F87" s="806">
        <v>30800</v>
      </c>
      <c r="G87" s="806">
        <v>30800</v>
      </c>
      <c r="H87" s="806">
        <v>30800</v>
      </c>
      <c r="I87" s="821">
        <v>30800</v>
      </c>
      <c r="J87" s="806">
        <v>30800</v>
      </c>
      <c r="K87" s="806">
        <v>30800</v>
      </c>
      <c r="L87" s="820">
        <v>30800</v>
      </c>
      <c r="M87" s="843">
        <v>10300</v>
      </c>
      <c r="N87" s="815">
        <v>20700</v>
      </c>
      <c r="O87" s="815">
        <v>36100</v>
      </c>
      <c r="P87" s="815">
        <v>51500</v>
      </c>
      <c r="Q87" s="815">
        <v>72100</v>
      </c>
      <c r="R87" s="811">
        <v>97900</v>
      </c>
      <c r="S87" s="850"/>
    </row>
    <row r="88" spans="1:19" ht="15">
      <c r="A88" s="788"/>
      <c r="B88" s="737">
        <v>2</v>
      </c>
      <c r="C88" s="799">
        <v>106800</v>
      </c>
      <c r="D88" s="807">
        <v>10700</v>
      </c>
      <c r="E88" s="807">
        <v>21400</v>
      </c>
      <c r="F88" s="807">
        <v>32000</v>
      </c>
      <c r="G88" s="807">
        <v>32000</v>
      </c>
      <c r="H88" s="807">
        <v>32000</v>
      </c>
      <c r="I88" s="823">
        <v>32000</v>
      </c>
      <c r="J88" s="807">
        <v>32000</v>
      </c>
      <c r="K88" s="807">
        <v>32000</v>
      </c>
      <c r="L88" s="822">
        <v>32000</v>
      </c>
      <c r="M88" s="844">
        <v>10700</v>
      </c>
      <c r="N88" s="816">
        <v>21400</v>
      </c>
      <c r="O88" s="816">
        <v>37400</v>
      </c>
      <c r="P88" s="816">
        <v>53400</v>
      </c>
      <c r="Q88" s="816">
        <v>74800</v>
      </c>
      <c r="R88" s="812">
        <v>101500</v>
      </c>
      <c r="S88" s="847"/>
    </row>
    <row r="89" spans="1:19" ht="15">
      <c r="A89" s="788"/>
      <c r="B89" s="737">
        <v>2.5</v>
      </c>
      <c r="C89" s="799">
        <v>110700</v>
      </c>
      <c r="D89" s="807">
        <v>11100</v>
      </c>
      <c r="E89" s="807">
        <v>22100</v>
      </c>
      <c r="F89" s="807">
        <v>33200</v>
      </c>
      <c r="G89" s="807">
        <v>33200</v>
      </c>
      <c r="H89" s="807">
        <v>33200</v>
      </c>
      <c r="I89" s="823">
        <v>33200</v>
      </c>
      <c r="J89" s="807">
        <v>33200</v>
      </c>
      <c r="K89" s="807">
        <v>33200</v>
      </c>
      <c r="L89" s="822">
        <v>33200</v>
      </c>
      <c r="M89" s="844">
        <v>11000</v>
      </c>
      <c r="N89" s="816">
        <v>22100</v>
      </c>
      <c r="O89" s="816">
        <v>38700</v>
      </c>
      <c r="P89" s="816">
        <v>55300</v>
      </c>
      <c r="Q89" s="816">
        <v>77400</v>
      </c>
      <c r="R89" s="812">
        <v>105100</v>
      </c>
      <c r="S89" s="847"/>
    </row>
    <row r="90" spans="1:19" ht="15">
      <c r="A90" s="788"/>
      <c r="B90" s="737">
        <v>3</v>
      </c>
      <c r="C90" s="799">
        <v>114500</v>
      </c>
      <c r="D90" s="807">
        <v>11500</v>
      </c>
      <c r="E90" s="807">
        <v>22900</v>
      </c>
      <c r="F90" s="807">
        <v>34400</v>
      </c>
      <c r="G90" s="807">
        <v>34400</v>
      </c>
      <c r="H90" s="807">
        <v>34400</v>
      </c>
      <c r="I90" s="823">
        <v>34400</v>
      </c>
      <c r="J90" s="807">
        <v>34400</v>
      </c>
      <c r="K90" s="807">
        <v>34400</v>
      </c>
      <c r="L90" s="822">
        <v>34400</v>
      </c>
      <c r="M90" s="844">
        <v>11400</v>
      </c>
      <c r="N90" s="816">
        <v>22900</v>
      </c>
      <c r="O90" s="816">
        <v>40000</v>
      </c>
      <c r="P90" s="816">
        <v>57200</v>
      </c>
      <c r="Q90" s="816">
        <v>80100</v>
      </c>
      <c r="R90" s="812">
        <v>108700</v>
      </c>
      <c r="S90" s="847"/>
    </row>
    <row r="91" spans="1:19" ht="15">
      <c r="A91" s="788"/>
      <c r="B91" s="737">
        <v>3.5</v>
      </c>
      <c r="C91" s="799">
        <v>118700</v>
      </c>
      <c r="D91" s="807">
        <v>11900</v>
      </c>
      <c r="E91" s="807">
        <v>23700</v>
      </c>
      <c r="F91" s="807">
        <v>35600</v>
      </c>
      <c r="G91" s="807">
        <v>35600</v>
      </c>
      <c r="H91" s="807">
        <v>35600</v>
      </c>
      <c r="I91" s="823">
        <v>35600</v>
      </c>
      <c r="J91" s="807">
        <v>35600</v>
      </c>
      <c r="K91" s="807">
        <v>35600</v>
      </c>
      <c r="L91" s="822">
        <v>35600</v>
      </c>
      <c r="M91" s="844">
        <v>11800</v>
      </c>
      <c r="N91" s="816">
        <v>23700</v>
      </c>
      <c r="O91" s="816">
        <v>41500</v>
      </c>
      <c r="P91" s="816">
        <v>59300</v>
      </c>
      <c r="Q91" s="816">
        <v>83000</v>
      </c>
      <c r="R91" s="812">
        <v>112700</v>
      </c>
      <c r="S91" s="847"/>
    </row>
    <row r="92" spans="1:19" ht="15">
      <c r="A92" s="788"/>
      <c r="B92" s="737">
        <v>4</v>
      </c>
      <c r="C92" s="799">
        <v>122800</v>
      </c>
      <c r="D92" s="807">
        <v>12300</v>
      </c>
      <c r="E92" s="807">
        <v>24600</v>
      </c>
      <c r="F92" s="807">
        <v>36800</v>
      </c>
      <c r="G92" s="807">
        <v>36800</v>
      </c>
      <c r="H92" s="807">
        <v>36800</v>
      </c>
      <c r="I92" s="823">
        <v>36800</v>
      </c>
      <c r="J92" s="807">
        <v>36800</v>
      </c>
      <c r="K92" s="807">
        <v>36800</v>
      </c>
      <c r="L92" s="822">
        <v>36800</v>
      </c>
      <c r="M92" s="844">
        <v>12300</v>
      </c>
      <c r="N92" s="816">
        <v>24600</v>
      </c>
      <c r="O92" s="816">
        <v>43000</v>
      </c>
      <c r="P92" s="816">
        <v>61400</v>
      </c>
      <c r="Q92" s="816">
        <v>86000</v>
      </c>
      <c r="R92" s="812">
        <v>116700</v>
      </c>
      <c r="S92" s="847"/>
    </row>
    <row r="93" spans="1:19" ht="15">
      <c r="A93" s="788"/>
      <c r="B93" s="737">
        <v>4.5</v>
      </c>
      <c r="C93" s="799">
        <v>127200</v>
      </c>
      <c r="D93" s="807">
        <v>12800</v>
      </c>
      <c r="E93" s="807">
        <v>25500</v>
      </c>
      <c r="F93" s="807">
        <v>38200</v>
      </c>
      <c r="G93" s="807">
        <v>38200</v>
      </c>
      <c r="H93" s="807">
        <v>38200</v>
      </c>
      <c r="I93" s="823">
        <v>38200</v>
      </c>
      <c r="J93" s="807">
        <v>38200</v>
      </c>
      <c r="K93" s="807">
        <v>38200</v>
      </c>
      <c r="L93" s="822">
        <v>38200</v>
      </c>
      <c r="M93" s="844">
        <v>12700</v>
      </c>
      <c r="N93" s="816">
        <v>25400</v>
      </c>
      <c r="O93" s="816">
        <v>44500</v>
      </c>
      <c r="P93" s="816">
        <v>63600</v>
      </c>
      <c r="Q93" s="816">
        <v>89000</v>
      </c>
      <c r="R93" s="812">
        <v>120800</v>
      </c>
      <c r="S93" s="847"/>
    </row>
    <row r="94" spans="1:19" ht="15">
      <c r="A94" s="788"/>
      <c r="B94" s="737">
        <v>5</v>
      </c>
      <c r="C94" s="799">
        <v>131600</v>
      </c>
      <c r="D94" s="807">
        <v>13200</v>
      </c>
      <c r="E94" s="807">
        <v>26300</v>
      </c>
      <c r="F94" s="807">
        <v>39500</v>
      </c>
      <c r="G94" s="807">
        <v>39500</v>
      </c>
      <c r="H94" s="807">
        <v>39500</v>
      </c>
      <c r="I94" s="823">
        <v>39500</v>
      </c>
      <c r="J94" s="807">
        <v>39500</v>
      </c>
      <c r="K94" s="807">
        <v>39500</v>
      </c>
      <c r="L94" s="822">
        <v>39500</v>
      </c>
      <c r="M94" s="844">
        <v>13100</v>
      </c>
      <c r="N94" s="816">
        <v>26300</v>
      </c>
      <c r="O94" s="816">
        <v>46000</v>
      </c>
      <c r="P94" s="816">
        <v>65800</v>
      </c>
      <c r="Q94" s="816">
        <v>92100</v>
      </c>
      <c r="R94" s="812">
        <v>125000</v>
      </c>
      <c r="S94" s="847"/>
    </row>
    <row r="95" spans="1:19" ht="15">
      <c r="A95" s="788"/>
      <c r="B95" s="737">
        <v>5.5</v>
      </c>
      <c r="C95" s="799">
        <v>137100</v>
      </c>
      <c r="D95" s="807">
        <v>13700</v>
      </c>
      <c r="E95" s="807">
        <v>27400</v>
      </c>
      <c r="F95" s="807">
        <v>41100</v>
      </c>
      <c r="G95" s="807">
        <v>41100</v>
      </c>
      <c r="H95" s="807">
        <v>41100</v>
      </c>
      <c r="I95" s="823">
        <v>41100</v>
      </c>
      <c r="J95" s="807">
        <v>41100</v>
      </c>
      <c r="K95" s="807">
        <v>41100</v>
      </c>
      <c r="L95" s="822">
        <v>41100</v>
      </c>
      <c r="M95" s="844">
        <v>13700</v>
      </c>
      <c r="N95" s="816">
        <v>27400</v>
      </c>
      <c r="O95" s="816">
        <v>47900</v>
      </c>
      <c r="P95" s="816">
        <v>68500</v>
      </c>
      <c r="Q95" s="816">
        <v>95900</v>
      </c>
      <c r="R95" s="812">
        <v>130200</v>
      </c>
      <c r="S95" s="847"/>
    </row>
    <row r="96" spans="1:19" ht="15">
      <c r="A96" s="788"/>
      <c r="B96" s="737">
        <v>6</v>
      </c>
      <c r="C96" s="799">
        <v>142500</v>
      </c>
      <c r="D96" s="807">
        <v>14300</v>
      </c>
      <c r="E96" s="807">
        <v>28500</v>
      </c>
      <c r="F96" s="807">
        <v>42800</v>
      </c>
      <c r="G96" s="807">
        <v>42800</v>
      </c>
      <c r="H96" s="807">
        <v>42800</v>
      </c>
      <c r="I96" s="823">
        <v>42800</v>
      </c>
      <c r="J96" s="807">
        <v>42800</v>
      </c>
      <c r="K96" s="807">
        <v>42800</v>
      </c>
      <c r="L96" s="822">
        <v>42800</v>
      </c>
      <c r="M96" s="844">
        <v>14200</v>
      </c>
      <c r="N96" s="816">
        <v>28500</v>
      </c>
      <c r="O96" s="816">
        <v>49800</v>
      </c>
      <c r="P96" s="816">
        <v>71200</v>
      </c>
      <c r="Q96" s="816">
        <v>99700</v>
      </c>
      <c r="R96" s="812">
        <v>135300</v>
      </c>
      <c r="S96" s="847"/>
    </row>
    <row r="97" spans="1:19" ht="15">
      <c r="A97" s="788"/>
      <c r="B97" s="737">
        <v>6.5</v>
      </c>
      <c r="C97" s="799">
        <v>148400</v>
      </c>
      <c r="D97" s="807">
        <v>14800</v>
      </c>
      <c r="E97" s="807">
        <v>29600</v>
      </c>
      <c r="F97" s="807">
        <v>44500</v>
      </c>
      <c r="G97" s="807">
        <v>44500</v>
      </c>
      <c r="H97" s="807">
        <v>44500</v>
      </c>
      <c r="I97" s="823">
        <v>44500</v>
      </c>
      <c r="J97" s="807">
        <v>44500</v>
      </c>
      <c r="K97" s="807">
        <v>44500</v>
      </c>
      <c r="L97" s="822">
        <v>44500</v>
      </c>
      <c r="M97" s="844">
        <v>14800</v>
      </c>
      <c r="N97" s="816">
        <v>29700</v>
      </c>
      <c r="O97" s="816">
        <v>51900</v>
      </c>
      <c r="P97" s="816">
        <v>74200</v>
      </c>
      <c r="Q97" s="816">
        <v>103800</v>
      </c>
      <c r="R97" s="812">
        <v>140900</v>
      </c>
      <c r="S97" s="847"/>
    </row>
    <row r="98" spans="1:19" ht="15">
      <c r="A98" s="788"/>
      <c r="B98" s="737">
        <v>7</v>
      </c>
      <c r="C98" s="799">
        <v>154200</v>
      </c>
      <c r="D98" s="807">
        <v>15400</v>
      </c>
      <c r="E98" s="807">
        <v>30800</v>
      </c>
      <c r="F98" s="807">
        <v>46300</v>
      </c>
      <c r="G98" s="807">
        <v>46300</v>
      </c>
      <c r="H98" s="807">
        <v>46300</v>
      </c>
      <c r="I98" s="823">
        <v>46300</v>
      </c>
      <c r="J98" s="807">
        <v>46300</v>
      </c>
      <c r="K98" s="807">
        <v>46300</v>
      </c>
      <c r="L98" s="822">
        <v>46300</v>
      </c>
      <c r="M98" s="844">
        <v>15400</v>
      </c>
      <c r="N98" s="816">
        <v>30800</v>
      </c>
      <c r="O98" s="816">
        <v>53900</v>
      </c>
      <c r="P98" s="816">
        <v>77100</v>
      </c>
      <c r="Q98" s="816">
        <v>107900</v>
      </c>
      <c r="R98" s="812">
        <v>146500</v>
      </c>
      <c r="S98" s="847"/>
    </row>
    <row r="99" spans="1:19" ht="15">
      <c r="A99" s="788"/>
      <c r="B99" s="737">
        <v>7.5</v>
      </c>
      <c r="C99" s="799">
        <v>160600</v>
      </c>
      <c r="D99" s="807">
        <v>16100</v>
      </c>
      <c r="E99" s="807">
        <v>32100</v>
      </c>
      <c r="F99" s="807">
        <v>48200</v>
      </c>
      <c r="G99" s="807">
        <v>48200</v>
      </c>
      <c r="H99" s="807">
        <v>48200</v>
      </c>
      <c r="I99" s="823">
        <v>48200</v>
      </c>
      <c r="J99" s="807">
        <v>48200</v>
      </c>
      <c r="K99" s="807">
        <v>48200</v>
      </c>
      <c r="L99" s="822">
        <v>48200</v>
      </c>
      <c r="M99" s="844">
        <v>16100</v>
      </c>
      <c r="N99" s="816">
        <v>32100</v>
      </c>
      <c r="O99" s="816">
        <v>56200</v>
      </c>
      <c r="P99" s="816">
        <v>80300</v>
      </c>
      <c r="Q99" s="816">
        <v>112400</v>
      </c>
      <c r="R99" s="812">
        <v>152600</v>
      </c>
      <c r="S99" s="849"/>
    </row>
    <row r="100" spans="1:19" ht="15.75" thickBot="1">
      <c r="A100" s="831"/>
      <c r="B100" s="737">
        <v>8</v>
      </c>
      <c r="C100" s="799">
        <v>167000</v>
      </c>
      <c r="D100" s="807">
        <v>16700</v>
      </c>
      <c r="E100" s="807">
        <v>33400</v>
      </c>
      <c r="F100" s="807">
        <v>50100</v>
      </c>
      <c r="G100" s="807">
        <v>50100</v>
      </c>
      <c r="H100" s="807">
        <v>50100</v>
      </c>
      <c r="I100" s="823">
        <v>50100</v>
      </c>
      <c r="J100" s="807">
        <v>50100</v>
      </c>
      <c r="K100" s="807">
        <v>50100</v>
      </c>
      <c r="L100" s="822">
        <v>50100</v>
      </c>
      <c r="M100" s="844">
        <v>16700</v>
      </c>
      <c r="N100" s="816">
        <v>33400</v>
      </c>
      <c r="O100" s="816">
        <v>58500</v>
      </c>
      <c r="P100" s="816">
        <v>83500</v>
      </c>
      <c r="Q100" s="816">
        <v>116900</v>
      </c>
      <c r="R100" s="812">
        <v>158700</v>
      </c>
      <c r="S100" s="848"/>
    </row>
    <row r="101" spans="1:19" ht="15">
      <c r="A101" s="1"/>
      <c r="B101" s="831">
        <v>8.5</v>
      </c>
      <c r="C101" s="799">
        <v>174000</v>
      </c>
      <c r="D101" s="807">
        <v>17400</v>
      </c>
      <c r="E101" s="807">
        <v>34800</v>
      </c>
      <c r="F101" s="807">
        <v>52200</v>
      </c>
      <c r="G101" s="807">
        <v>52200</v>
      </c>
      <c r="H101" s="807">
        <v>52200</v>
      </c>
      <c r="I101" s="823">
        <v>52200</v>
      </c>
      <c r="J101" s="807">
        <v>52200</v>
      </c>
      <c r="K101" s="807">
        <v>52200</v>
      </c>
      <c r="L101" s="822">
        <v>52200</v>
      </c>
      <c r="M101" s="844">
        <v>17400</v>
      </c>
      <c r="N101" s="816">
        <v>34800</v>
      </c>
      <c r="O101" s="816">
        <v>60900</v>
      </c>
      <c r="P101" s="816">
        <v>86900</v>
      </c>
      <c r="Q101" s="816">
        <v>121700</v>
      </c>
      <c r="R101" s="812">
        <v>165200</v>
      </c>
      <c r="S101" s="1"/>
    </row>
    <row r="102" spans="1:19" ht="15">
      <c r="A102" s="1"/>
      <c r="B102" s="831">
        <v>9</v>
      </c>
      <c r="C102" s="799">
        <v>180900</v>
      </c>
      <c r="D102" s="807">
        <v>18100</v>
      </c>
      <c r="E102" s="807">
        <v>36200</v>
      </c>
      <c r="F102" s="807">
        <v>54300</v>
      </c>
      <c r="G102" s="807">
        <v>54300</v>
      </c>
      <c r="H102" s="807">
        <v>54300</v>
      </c>
      <c r="I102" s="823">
        <v>54300</v>
      </c>
      <c r="J102" s="807">
        <v>54300</v>
      </c>
      <c r="K102" s="807">
        <v>54300</v>
      </c>
      <c r="L102" s="822">
        <v>54300</v>
      </c>
      <c r="M102" s="844">
        <v>18100</v>
      </c>
      <c r="N102" s="816">
        <v>36200</v>
      </c>
      <c r="O102" s="816">
        <v>63300</v>
      </c>
      <c r="P102" s="816">
        <v>90400</v>
      </c>
      <c r="Q102" s="816">
        <v>126600</v>
      </c>
      <c r="R102" s="812">
        <v>171800</v>
      </c>
      <c r="S102" s="1"/>
    </row>
    <row r="103" spans="1:19" ht="15.75" thickBot="1">
      <c r="A103" s="830"/>
      <c r="B103" s="832">
        <v>9.5</v>
      </c>
      <c r="C103" s="833">
        <v>188400</v>
      </c>
      <c r="D103" s="834">
        <v>18900</v>
      </c>
      <c r="E103" s="834">
        <v>37700</v>
      </c>
      <c r="F103" s="834">
        <v>56600</v>
      </c>
      <c r="G103" s="834">
        <v>56600</v>
      </c>
      <c r="H103" s="834">
        <v>56600</v>
      </c>
      <c r="I103" s="835">
        <v>56600</v>
      </c>
      <c r="J103" s="808">
        <v>56600</v>
      </c>
      <c r="K103" s="808">
        <v>56600</v>
      </c>
      <c r="L103" s="824">
        <v>56600</v>
      </c>
      <c r="M103" s="845">
        <v>18800</v>
      </c>
      <c r="N103" s="817">
        <v>37700</v>
      </c>
      <c r="O103" s="817">
        <v>65900</v>
      </c>
      <c r="P103" s="817">
        <v>94100</v>
      </c>
      <c r="Q103" s="817">
        <v>131800</v>
      </c>
      <c r="R103" s="813">
        <v>178900</v>
      </c>
      <c r="S103" s="1"/>
    </row>
    <row r="104" spans="1:19" ht="15">
      <c r="A104"/>
      <c r="B104"/>
      <c r="C104"/>
      <c r="D104">
        <v>0</v>
      </c>
      <c r="E104">
        <v>0</v>
      </c>
      <c r="F104">
        <v>0</v>
      </c>
      <c r="G104">
        <v>0</v>
      </c>
      <c r="H104">
        <v>0</v>
      </c>
      <c r="I104">
        <v>0</v>
      </c>
      <c r="J104">
        <v>0</v>
      </c>
      <c r="K104">
        <v>0</v>
      </c>
      <c r="L104">
        <v>0</v>
      </c>
      <c r="M104">
        <v>0</v>
      </c>
      <c r="N104">
        <v>0</v>
      </c>
      <c r="O104">
        <v>0</v>
      </c>
      <c r="P104">
        <v>0</v>
      </c>
      <c r="Q104">
        <v>0</v>
      </c>
      <c r="R104">
        <v>0</v>
      </c>
      <c r="S104"/>
    </row>
  </sheetData>
  <sheetProtection/>
  <mergeCells count="2">
    <mergeCell ref="D46:L46"/>
    <mergeCell ref="M46:S46"/>
  </mergeCells>
  <printOptions/>
  <pageMargins left="0.25" right="0.25" top="1" bottom="1" header="0.5" footer="0.5"/>
  <pageSetup horizontalDpi="300" verticalDpi="300" orientation="landscape" r:id="rId1"/>
</worksheet>
</file>

<file path=xl/worksheets/sheet11.xml><?xml version="1.0" encoding="utf-8"?>
<worksheet xmlns="http://schemas.openxmlformats.org/spreadsheetml/2006/main" xmlns:r="http://schemas.openxmlformats.org/officeDocument/2006/relationships">
  <sheetPr codeName="Sheet9">
    <tabColor rgb="FF7030A0"/>
  </sheetPr>
  <dimension ref="A2:AA105"/>
  <sheetViews>
    <sheetView showGridLines="0" zoomScale="75" zoomScaleNormal="75" zoomScalePageLayoutView="0" workbookViewId="0" topLeftCell="A1">
      <selection activeCell="Y51" sqref="Y51"/>
    </sheetView>
  </sheetViews>
  <sheetFormatPr defaultColWidth="9.140625" defaultRowHeight="12.75"/>
  <cols>
    <col min="1" max="1" width="12.00390625" style="0" customWidth="1"/>
    <col min="2" max="2" width="5.7109375" style="0" customWidth="1"/>
    <col min="3" max="3" width="9.8515625" style="0" customWidth="1"/>
    <col min="4" max="4" width="9.28125" style="0" customWidth="1"/>
    <col min="5" max="5" width="8.57421875" style="0" customWidth="1"/>
    <col min="6" max="6" width="8.140625" style="0" customWidth="1"/>
    <col min="7" max="7" width="8.57421875" style="0" customWidth="1"/>
    <col min="8" max="8" width="8.421875" style="0" customWidth="1"/>
    <col min="9" max="9" width="8.57421875" style="0" customWidth="1"/>
    <col min="10" max="10" width="8.7109375" style="0" bestFit="1" customWidth="1"/>
    <col min="12" max="12" width="9.421875" style="0" bestFit="1" customWidth="1"/>
    <col min="13" max="13" width="8.7109375" style="0" bestFit="1" customWidth="1"/>
    <col min="15" max="15" width="9.421875" style="0" bestFit="1" customWidth="1"/>
    <col min="16" max="16" width="8.7109375" style="0" bestFit="1" customWidth="1"/>
    <col min="18" max="18" width="8.57421875" style="0" customWidth="1"/>
  </cols>
  <sheetData>
    <row r="1" ht="13.5" thickBot="1"/>
    <row r="2" spans="1:27" ht="12.75">
      <c r="A2" s="743"/>
      <c r="B2" s="735" t="s">
        <v>65</v>
      </c>
      <c r="C2" s="739"/>
      <c r="D2" s="740" t="s">
        <v>34</v>
      </c>
      <c r="E2" s="741"/>
      <c r="F2" s="740" t="s">
        <v>35</v>
      </c>
      <c r="G2" s="741"/>
      <c r="H2" s="740" t="s">
        <v>36</v>
      </c>
      <c r="I2" s="741"/>
      <c r="J2" s="740" t="s">
        <v>37</v>
      </c>
      <c r="K2" s="742"/>
      <c r="L2" s="741"/>
      <c r="M2" s="740" t="s">
        <v>38</v>
      </c>
      <c r="N2" s="742"/>
      <c r="O2" s="741"/>
      <c r="P2" s="740"/>
      <c r="Q2" s="742" t="s">
        <v>39</v>
      </c>
      <c r="R2" s="741"/>
      <c r="S2" s="740"/>
      <c r="T2" s="742" t="s">
        <v>40</v>
      </c>
      <c r="U2" s="741"/>
      <c r="V2" s="734"/>
      <c r="W2" s="742" t="s">
        <v>63</v>
      </c>
      <c r="X2" s="741"/>
      <c r="Y2" s="755"/>
      <c r="Z2" s="742" t="s">
        <v>64</v>
      </c>
      <c r="AA2" s="741"/>
    </row>
    <row r="3" spans="1:27" s="3" customFormat="1" ht="39" thickBot="1">
      <c r="A3" s="744" t="s">
        <v>41</v>
      </c>
      <c r="B3" s="756" t="s">
        <v>42</v>
      </c>
      <c r="C3" s="757" t="s">
        <v>43</v>
      </c>
      <c r="D3" s="758" t="s">
        <v>34</v>
      </c>
      <c r="E3" s="759" t="s">
        <v>191</v>
      </c>
      <c r="F3" s="758" t="s">
        <v>35</v>
      </c>
      <c r="G3" s="759" t="s">
        <v>192</v>
      </c>
      <c r="H3" s="758" t="s">
        <v>36</v>
      </c>
      <c r="I3" s="759" t="s">
        <v>193</v>
      </c>
      <c r="J3" s="758" t="s">
        <v>37</v>
      </c>
      <c r="K3" s="761" t="s">
        <v>193</v>
      </c>
      <c r="L3" s="760" t="s">
        <v>194</v>
      </c>
      <c r="M3" s="758" t="s">
        <v>38</v>
      </c>
      <c r="N3" s="761" t="s">
        <v>193</v>
      </c>
      <c r="O3" s="760" t="s">
        <v>195</v>
      </c>
      <c r="P3" s="758" t="s">
        <v>39</v>
      </c>
      <c r="Q3" s="761" t="s">
        <v>193</v>
      </c>
      <c r="R3" s="760" t="s">
        <v>196</v>
      </c>
      <c r="S3" s="758" t="s">
        <v>40</v>
      </c>
      <c r="T3" s="761" t="s">
        <v>193</v>
      </c>
      <c r="U3" s="760" t="s">
        <v>197</v>
      </c>
      <c r="V3" s="758" t="s">
        <v>63</v>
      </c>
      <c r="W3" s="761" t="s">
        <v>193</v>
      </c>
      <c r="X3" s="760" t="s">
        <v>198</v>
      </c>
      <c r="Y3" s="758" t="s">
        <v>64</v>
      </c>
      <c r="Z3" s="761" t="s">
        <v>193</v>
      </c>
      <c r="AA3" s="760" t="s">
        <v>199</v>
      </c>
    </row>
    <row r="4" spans="1:27" ht="13.5" thickBot="1">
      <c r="A4" s="745" t="s">
        <v>12</v>
      </c>
      <c r="B4" s="751" t="s">
        <v>51</v>
      </c>
      <c r="C4" s="749">
        <v>58500</v>
      </c>
      <c r="D4" s="765">
        <v>64400</v>
      </c>
      <c r="E4" s="762">
        <v>5900</v>
      </c>
      <c r="F4" s="765">
        <v>70200</v>
      </c>
      <c r="G4" s="762">
        <v>11700</v>
      </c>
      <c r="H4" s="765">
        <v>76100</v>
      </c>
      <c r="I4" s="762">
        <v>17600</v>
      </c>
      <c r="J4" s="765">
        <v>81900</v>
      </c>
      <c r="K4" s="763">
        <v>17600</v>
      </c>
      <c r="L4" s="750">
        <v>5800</v>
      </c>
      <c r="M4" s="765">
        <v>87800</v>
      </c>
      <c r="N4" s="763">
        <v>17600</v>
      </c>
      <c r="O4" s="750">
        <v>11700</v>
      </c>
      <c r="P4" s="765">
        <v>96500</v>
      </c>
      <c r="Q4" s="763">
        <v>17600</v>
      </c>
      <c r="R4" s="750">
        <v>20400</v>
      </c>
      <c r="S4" s="765">
        <v>105300</v>
      </c>
      <c r="T4" s="763">
        <v>17600</v>
      </c>
      <c r="U4" s="750">
        <v>29200</v>
      </c>
      <c r="V4" s="765">
        <v>117000</v>
      </c>
      <c r="W4" s="763">
        <v>17600</v>
      </c>
      <c r="X4" s="750">
        <v>40900</v>
      </c>
      <c r="Y4" s="765">
        <v>131600</v>
      </c>
      <c r="Z4" s="763">
        <v>17600</v>
      </c>
      <c r="AA4" s="750">
        <v>55500</v>
      </c>
    </row>
    <row r="5" spans="1:27" ht="12.75">
      <c r="A5" s="746" t="s">
        <v>13</v>
      </c>
      <c r="B5" s="736">
        <v>1</v>
      </c>
      <c r="C5" s="765">
        <v>67800</v>
      </c>
      <c r="D5" s="769">
        <v>74600</v>
      </c>
      <c r="E5" s="765">
        <v>6800</v>
      </c>
      <c r="F5" s="769">
        <v>81400</v>
      </c>
      <c r="G5" s="765">
        <v>13600</v>
      </c>
      <c r="H5" s="769">
        <v>88100</v>
      </c>
      <c r="I5" s="765">
        <v>20300</v>
      </c>
      <c r="J5" s="770">
        <v>94900</v>
      </c>
      <c r="K5" s="772">
        <v>20300</v>
      </c>
      <c r="L5" s="771">
        <v>6800</v>
      </c>
      <c r="M5" s="770">
        <v>101700</v>
      </c>
      <c r="N5" s="772">
        <v>20300</v>
      </c>
      <c r="O5" s="771">
        <v>13600</v>
      </c>
      <c r="P5" s="770">
        <v>111900</v>
      </c>
      <c r="Q5" s="772">
        <v>20300</v>
      </c>
      <c r="R5" s="771">
        <v>23800</v>
      </c>
      <c r="S5" s="770">
        <v>122000</v>
      </c>
      <c r="T5" s="772">
        <v>20300</v>
      </c>
      <c r="U5" s="771">
        <v>33900</v>
      </c>
      <c r="V5" s="770">
        <v>135600</v>
      </c>
      <c r="W5" s="772">
        <v>20300</v>
      </c>
      <c r="X5" s="771">
        <v>47500</v>
      </c>
      <c r="Y5" s="770">
        <v>152600</v>
      </c>
      <c r="Z5" s="772">
        <v>20300</v>
      </c>
      <c r="AA5" s="771">
        <v>64500</v>
      </c>
    </row>
    <row r="6" spans="1:27" ht="12.75">
      <c r="A6" s="747"/>
      <c r="B6" s="737">
        <v>2</v>
      </c>
      <c r="C6" s="766">
        <v>71900</v>
      </c>
      <c r="D6" s="773">
        <v>79100</v>
      </c>
      <c r="E6" s="766">
        <v>7200</v>
      </c>
      <c r="F6" s="773">
        <v>86300</v>
      </c>
      <c r="G6" s="766">
        <v>14400</v>
      </c>
      <c r="H6" s="773">
        <v>93500</v>
      </c>
      <c r="I6" s="766">
        <v>21600</v>
      </c>
      <c r="J6" s="774">
        <v>100700</v>
      </c>
      <c r="K6" s="775">
        <v>21600</v>
      </c>
      <c r="L6" s="776">
        <v>7200</v>
      </c>
      <c r="M6" s="774">
        <v>107900</v>
      </c>
      <c r="N6" s="775">
        <v>21600</v>
      </c>
      <c r="O6" s="776">
        <v>14400</v>
      </c>
      <c r="P6" s="774">
        <v>118600</v>
      </c>
      <c r="Q6" s="775">
        <v>21600</v>
      </c>
      <c r="R6" s="776">
        <v>25100</v>
      </c>
      <c r="S6" s="774">
        <v>129400</v>
      </c>
      <c r="T6" s="775">
        <v>21600</v>
      </c>
      <c r="U6" s="776">
        <v>35900</v>
      </c>
      <c r="V6" s="774">
        <v>143800</v>
      </c>
      <c r="W6" s="775">
        <v>21600</v>
      </c>
      <c r="X6" s="776">
        <v>50300</v>
      </c>
      <c r="Y6" s="774">
        <v>161800</v>
      </c>
      <c r="Z6" s="775">
        <v>21600</v>
      </c>
      <c r="AA6" s="776">
        <v>68300</v>
      </c>
    </row>
    <row r="7" spans="1:27" ht="12.75">
      <c r="A7" s="747"/>
      <c r="B7" s="737">
        <v>2.5</v>
      </c>
      <c r="C7" s="766">
        <v>73900</v>
      </c>
      <c r="D7" s="773">
        <v>81300</v>
      </c>
      <c r="E7" s="766">
        <v>7400</v>
      </c>
      <c r="F7" s="773">
        <v>88700</v>
      </c>
      <c r="G7" s="766">
        <v>14800</v>
      </c>
      <c r="H7" s="773">
        <v>96000</v>
      </c>
      <c r="I7" s="766">
        <v>22100</v>
      </c>
      <c r="J7" s="774">
        <v>103400</v>
      </c>
      <c r="K7" s="775">
        <v>22100</v>
      </c>
      <c r="L7" s="776">
        <v>7400</v>
      </c>
      <c r="M7" s="774">
        <v>110800</v>
      </c>
      <c r="N7" s="775">
        <v>22100</v>
      </c>
      <c r="O7" s="776">
        <v>14800</v>
      </c>
      <c r="P7" s="774">
        <v>121900</v>
      </c>
      <c r="Q7" s="775">
        <v>22100</v>
      </c>
      <c r="R7" s="776">
        <v>25900</v>
      </c>
      <c r="S7" s="774">
        <v>132900</v>
      </c>
      <c r="T7" s="775">
        <v>22100</v>
      </c>
      <c r="U7" s="776">
        <v>36900</v>
      </c>
      <c r="V7" s="774">
        <v>147700</v>
      </c>
      <c r="W7" s="775">
        <v>22100</v>
      </c>
      <c r="X7" s="776">
        <v>51700</v>
      </c>
      <c r="Y7" s="774">
        <v>166200</v>
      </c>
      <c r="Z7" s="775">
        <v>22100</v>
      </c>
      <c r="AA7" s="776">
        <v>70200</v>
      </c>
    </row>
    <row r="8" spans="1:27" ht="12.75">
      <c r="A8" s="747"/>
      <c r="B8" s="737">
        <v>3</v>
      </c>
      <c r="C8" s="766">
        <v>75800</v>
      </c>
      <c r="D8" s="773">
        <v>83400</v>
      </c>
      <c r="E8" s="766">
        <v>7600</v>
      </c>
      <c r="F8" s="773">
        <v>91000</v>
      </c>
      <c r="G8" s="766">
        <v>15200</v>
      </c>
      <c r="H8" s="773">
        <v>98500</v>
      </c>
      <c r="I8" s="766">
        <v>22700</v>
      </c>
      <c r="J8" s="774">
        <v>106100</v>
      </c>
      <c r="K8" s="775">
        <v>22700</v>
      </c>
      <c r="L8" s="776">
        <v>7600</v>
      </c>
      <c r="M8" s="774">
        <v>113700</v>
      </c>
      <c r="N8" s="775">
        <v>22700</v>
      </c>
      <c r="O8" s="776">
        <v>15200</v>
      </c>
      <c r="P8" s="774">
        <v>125100</v>
      </c>
      <c r="Q8" s="775">
        <v>22700</v>
      </c>
      <c r="R8" s="776">
        <v>26600</v>
      </c>
      <c r="S8" s="774">
        <v>136400</v>
      </c>
      <c r="T8" s="775">
        <v>22700</v>
      </c>
      <c r="U8" s="776">
        <v>37900</v>
      </c>
      <c r="V8" s="774">
        <v>151600</v>
      </c>
      <c r="W8" s="775">
        <v>22700</v>
      </c>
      <c r="X8" s="776">
        <v>53100</v>
      </c>
      <c r="Y8" s="774">
        <v>170600</v>
      </c>
      <c r="Z8" s="775">
        <v>22700</v>
      </c>
      <c r="AA8" s="776">
        <v>72100</v>
      </c>
    </row>
    <row r="9" spans="1:27" ht="12.75">
      <c r="A9" s="747"/>
      <c r="B9" s="737">
        <v>3.5</v>
      </c>
      <c r="C9" s="766">
        <v>78000</v>
      </c>
      <c r="D9" s="773">
        <v>85800</v>
      </c>
      <c r="E9" s="766">
        <v>7800</v>
      </c>
      <c r="F9" s="773">
        <v>93600</v>
      </c>
      <c r="G9" s="766">
        <v>15600</v>
      </c>
      <c r="H9" s="773">
        <v>101400</v>
      </c>
      <c r="I9" s="766">
        <v>23400</v>
      </c>
      <c r="J9" s="774">
        <v>109200</v>
      </c>
      <c r="K9" s="775">
        <v>23400</v>
      </c>
      <c r="L9" s="776">
        <v>7800</v>
      </c>
      <c r="M9" s="774">
        <v>117000</v>
      </c>
      <c r="N9" s="775">
        <v>23400</v>
      </c>
      <c r="O9" s="776">
        <v>15600</v>
      </c>
      <c r="P9" s="774">
        <v>128700</v>
      </c>
      <c r="Q9" s="775">
        <v>23400</v>
      </c>
      <c r="R9" s="776">
        <v>27300</v>
      </c>
      <c r="S9" s="774">
        <v>140400</v>
      </c>
      <c r="T9" s="775">
        <v>23400</v>
      </c>
      <c r="U9" s="776">
        <v>39000</v>
      </c>
      <c r="V9" s="774">
        <v>156000</v>
      </c>
      <c r="W9" s="775">
        <v>23400</v>
      </c>
      <c r="X9" s="776">
        <v>54600</v>
      </c>
      <c r="Y9" s="774">
        <v>175600</v>
      </c>
      <c r="Z9" s="775">
        <v>23400</v>
      </c>
      <c r="AA9" s="776">
        <v>74200</v>
      </c>
    </row>
    <row r="10" spans="1:27" ht="12.75">
      <c r="A10" s="747"/>
      <c r="B10" s="737">
        <v>4</v>
      </c>
      <c r="C10" s="766">
        <v>80200</v>
      </c>
      <c r="D10" s="773">
        <v>88200</v>
      </c>
      <c r="E10" s="766">
        <v>8000</v>
      </c>
      <c r="F10" s="773">
        <v>96200</v>
      </c>
      <c r="G10" s="766">
        <v>16000</v>
      </c>
      <c r="H10" s="773">
        <v>104300</v>
      </c>
      <c r="I10" s="766">
        <v>24100</v>
      </c>
      <c r="J10" s="774">
        <v>112300</v>
      </c>
      <c r="K10" s="775">
        <v>24100</v>
      </c>
      <c r="L10" s="776">
        <v>8000</v>
      </c>
      <c r="M10" s="774">
        <v>120300</v>
      </c>
      <c r="N10" s="775">
        <v>24100</v>
      </c>
      <c r="O10" s="776">
        <v>16000</v>
      </c>
      <c r="P10" s="774">
        <v>132300</v>
      </c>
      <c r="Q10" s="775">
        <v>24100</v>
      </c>
      <c r="R10" s="776">
        <v>28000</v>
      </c>
      <c r="S10" s="774">
        <v>144400</v>
      </c>
      <c r="T10" s="775">
        <v>24100</v>
      </c>
      <c r="U10" s="776">
        <v>40100</v>
      </c>
      <c r="V10" s="774">
        <v>160400</v>
      </c>
      <c r="W10" s="775">
        <v>24100</v>
      </c>
      <c r="X10" s="776">
        <v>56100</v>
      </c>
      <c r="Y10" s="774">
        <v>180500</v>
      </c>
      <c r="Z10" s="775">
        <v>24100</v>
      </c>
      <c r="AA10" s="776">
        <v>76200</v>
      </c>
    </row>
    <row r="11" spans="1:27" ht="12.75">
      <c r="A11" s="747"/>
      <c r="B11" s="737">
        <v>4.5</v>
      </c>
      <c r="C11" s="766">
        <v>82200</v>
      </c>
      <c r="D11" s="773">
        <v>90400</v>
      </c>
      <c r="E11" s="766">
        <v>8200</v>
      </c>
      <c r="F11" s="773">
        <v>98600</v>
      </c>
      <c r="G11" s="766">
        <v>16400</v>
      </c>
      <c r="H11" s="773">
        <v>106800</v>
      </c>
      <c r="I11" s="766">
        <v>24600</v>
      </c>
      <c r="J11" s="774">
        <v>115000</v>
      </c>
      <c r="K11" s="775">
        <v>24600</v>
      </c>
      <c r="L11" s="776">
        <v>8200</v>
      </c>
      <c r="M11" s="774">
        <v>123300</v>
      </c>
      <c r="N11" s="775">
        <v>24600</v>
      </c>
      <c r="O11" s="776">
        <v>16500</v>
      </c>
      <c r="P11" s="774">
        <v>135600</v>
      </c>
      <c r="Q11" s="775">
        <v>24600</v>
      </c>
      <c r="R11" s="776">
        <v>28800</v>
      </c>
      <c r="S11" s="774">
        <v>147900</v>
      </c>
      <c r="T11" s="775">
        <v>24600</v>
      </c>
      <c r="U11" s="776">
        <v>41100</v>
      </c>
      <c r="V11" s="774">
        <v>164300</v>
      </c>
      <c r="W11" s="775">
        <v>24600</v>
      </c>
      <c r="X11" s="776">
        <v>57500</v>
      </c>
      <c r="Y11" s="774">
        <v>184900</v>
      </c>
      <c r="Z11" s="775">
        <v>24600</v>
      </c>
      <c r="AA11" s="776">
        <v>78100</v>
      </c>
    </row>
    <row r="12" spans="1:27" ht="12.75">
      <c r="A12" s="747"/>
      <c r="B12" s="737">
        <v>5</v>
      </c>
      <c r="C12" s="766">
        <v>84100</v>
      </c>
      <c r="D12" s="773">
        <v>92500</v>
      </c>
      <c r="E12" s="766">
        <v>8400</v>
      </c>
      <c r="F12" s="773">
        <v>100900</v>
      </c>
      <c r="G12" s="766">
        <v>16800</v>
      </c>
      <c r="H12" s="773">
        <v>109300</v>
      </c>
      <c r="I12" s="766">
        <v>25200</v>
      </c>
      <c r="J12" s="774">
        <v>117700</v>
      </c>
      <c r="K12" s="775">
        <v>25200</v>
      </c>
      <c r="L12" s="776">
        <v>8400</v>
      </c>
      <c r="M12" s="774">
        <v>126200</v>
      </c>
      <c r="N12" s="775">
        <v>25200</v>
      </c>
      <c r="O12" s="776">
        <v>16900</v>
      </c>
      <c r="P12" s="774">
        <v>138800</v>
      </c>
      <c r="Q12" s="775">
        <v>25200</v>
      </c>
      <c r="R12" s="776">
        <v>29500</v>
      </c>
      <c r="S12" s="774">
        <v>151400</v>
      </c>
      <c r="T12" s="775">
        <v>25200</v>
      </c>
      <c r="U12" s="776">
        <v>42100</v>
      </c>
      <c r="V12" s="774">
        <v>168200</v>
      </c>
      <c r="W12" s="775">
        <v>25200</v>
      </c>
      <c r="X12" s="776">
        <v>58900</v>
      </c>
      <c r="Y12" s="774">
        <v>189200</v>
      </c>
      <c r="Z12" s="775">
        <v>25200</v>
      </c>
      <c r="AA12" s="776">
        <v>79900</v>
      </c>
    </row>
    <row r="13" spans="1:27" ht="12.75">
      <c r="A13" s="747"/>
      <c r="B13" s="754">
        <v>5.5</v>
      </c>
      <c r="C13" s="767">
        <v>86200</v>
      </c>
      <c r="D13" s="773">
        <v>94800</v>
      </c>
      <c r="E13" s="767">
        <v>8600</v>
      </c>
      <c r="F13" s="777">
        <v>103400</v>
      </c>
      <c r="G13" s="767">
        <v>17200</v>
      </c>
      <c r="H13" s="773">
        <v>112000</v>
      </c>
      <c r="I13" s="767">
        <v>25800</v>
      </c>
      <c r="J13" s="774">
        <v>120600</v>
      </c>
      <c r="K13" s="778">
        <v>25800</v>
      </c>
      <c r="L13" s="779">
        <v>8600</v>
      </c>
      <c r="M13" s="774">
        <v>129300</v>
      </c>
      <c r="N13" s="778">
        <v>25800</v>
      </c>
      <c r="O13" s="779">
        <v>17300</v>
      </c>
      <c r="P13" s="774">
        <v>142200</v>
      </c>
      <c r="Q13" s="778">
        <v>25800</v>
      </c>
      <c r="R13" s="779">
        <v>30200</v>
      </c>
      <c r="S13" s="774">
        <v>155100</v>
      </c>
      <c r="T13" s="778">
        <v>25800</v>
      </c>
      <c r="U13" s="779">
        <v>43100</v>
      </c>
      <c r="V13" s="774">
        <v>172300</v>
      </c>
      <c r="W13" s="778">
        <v>25800</v>
      </c>
      <c r="X13" s="779">
        <v>60300</v>
      </c>
      <c r="Y13" s="774">
        <v>193900</v>
      </c>
      <c r="Z13" s="778">
        <v>25800</v>
      </c>
      <c r="AA13" s="779">
        <v>81900</v>
      </c>
    </row>
    <row r="14" spans="1:27" ht="12.75">
      <c r="A14" s="747"/>
      <c r="B14" s="754">
        <v>6</v>
      </c>
      <c r="C14" s="767">
        <v>88200</v>
      </c>
      <c r="D14" s="773">
        <v>97000</v>
      </c>
      <c r="E14" s="767">
        <v>8800</v>
      </c>
      <c r="F14" s="777">
        <v>105800</v>
      </c>
      <c r="G14" s="767">
        <v>17600</v>
      </c>
      <c r="H14" s="777">
        <v>114700</v>
      </c>
      <c r="I14" s="767">
        <v>26500</v>
      </c>
      <c r="J14" s="774">
        <v>123500</v>
      </c>
      <c r="K14" s="778">
        <v>26500</v>
      </c>
      <c r="L14" s="779">
        <v>8800</v>
      </c>
      <c r="M14" s="774">
        <v>132300</v>
      </c>
      <c r="N14" s="778">
        <v>26500</v>
      </c>
      <c r="O14" s="779">
        <v>17600</v>
      </c>
      <c r="P14" s="774">
        <v>145500</v>
      </c>
      <c r="Q14" s="778">
        <v>26500</v>
      </c>
      <c r="R14" s="779">
        <v>30800</v>
      </c>
      <c r="S14" s="774">
        <v>158800</v>
      </c>
      <c r="T14" s="778">
        <v>26500</v>
      </c>
      <c r="U14" s="779">
        <v>44100</v>
      </c>
      <c r="V14" s="774">
        <v>176400</v>
      </c>
      <c r="W14" s="778">
        <v>26500</v>
      </c>
      <c r="X14" s="779">
        <v>61700</v>
      </c>
      <c r="Y14" s="774">
        <v>198500</v>
      </c>
      <c r="Z14" s="778">
        <v>26500</v>
      </c>
      <c r="AA14" s="779">
        <v>83800</v>
      </c>
    </row>
    <row r="15" spans="1:27" ht="13.5" thickBot="1">
      <c r="A15" s="748"/>
      <c r="B15" s="738">
        <v>6.5</v>
      </c>
      <c r="C15" s="768">
        <v>90700</v>
      </c>
      <c r="D15" s="773">
        <v>99800</v>
      </c>
      <c r="E15" s="768">
        <v>9100</v>
      </c>
      <c r="F15" s="780">
        <v>108800</v>
      </c>
      <c r="G15" s="768">
        <v>18100</v>
      </c>
      <c r="H15" s="780">
        <v>118000</v>
      </c>
      <c r="I15" s="768">
        <v>27300</v>
      </c>
      <c r="J15" s="774">
        <v>127000</v>
      </c>
      <c r="K15" s="781">
        <v>27300</v>
      </c>
      <c r="L15" s="782">
        <v>9000</v>
      </c>
      <c r="M15" s="774">
        <v>136100</v>
      </c>
      <c r="N15" s="781">
        <v>27300</v>
      </c>
      <c r="O15" s="782">
        <v>18100</v>
      </c>
      <c r="P15" s="774">
        <v>149700</v>
      </c>
      <c r="Q15" s="781">
        <v>27300</v>
      </c>
      <c r="R15" s="782">
        <v>31700</v>
      </c>
      <c r="S15" s="774">
        <v>163300</v>
      </c>
      <c r="T15" s="781">
        <v>27300</v>
      </c>
      <c r="U15" s="782">
        <v>45300</v>
      </c>
      <c r="V15" s="774">
        <v>181400</v>
      </c>
      <c r="W15" s="781">
        <v>27300</v>
      </c>
      <c r="X15" s="782">
        <v>63400</v>
      </c>
      <c r="Y15" s="774">
        <v>204100</v>
      </c>
      <c r="Z15" s="781">
        <v>27300</v>
      </c>
      <c r="AA15" s="782">
        <v>86100</v>
      </c>
    </row>
    <row r="16" spans="1:27" ht="13.5" thickBot="1">
      <c r="A16" s="746" t="s">
        <v>14</v>
      </c>
      <c r="B16" s="736">
        <v>1</v>
      </c>
      <c r="C16" s="765">
        <v>84200</v>
      </c>
      <c r="D16" s="769">
        <v>92600</v>
      </c>
      <c r="E16" s="765">
        <v>8400</v>
      </c>
      <c r="F16" s="769">
        <v>101000</v>
      </c>
      <c r="G16" s="765">
        <v>16800</v>
      </c>
      <c r="H16" s="769">
        <v>109500</v>
      </c>
      <c r="I16" s="765">
        <v>25300</v>
      </c>
      <c r="J16" s="770">
        <v>117900</v>
      </c>
      <c r="K16" s="772">
        <v>25300</v>
      </c>
      <c r="L16" s="771">
        <v>8400</v>
      </c>
      <c r="M16" s="770">
        <v>126300</v>
      </c>
      <c r="N16" s="772">
        <v>25300</v>
      </c>
      <c r="O16" s="771">
        <v>16800</v>
      </c>
      <c r="P16" s="770">
        <v>138900</v>
      </c>
      <c r="Q16" s="772">
        <v>25300</v>
      </c>
      <c r="R16" s="771">
        <v>29400</v>
      </c>
      <c r="S16" s="770">
        <v>151600</v>
      </c>
      <c r="T16" s="772">
        <v>25300</v>
      </c>
      <c r="U16" s="771">
        <v>42100</v>
      </c>
      <c r="V16" s="770">
        <v>168400</v>
      </c>
      <c r="W16" s="772">
        <v>25300</v>
      </c>
      <c r="X16" s="771">
        <v>58900</v>
      </c>
      <c r="Y16" s="770">
        <v>189500</v>
      </c>
      <c r="Z16" s="772">
        <v>25300</v>
      </c>
      <c r="AA16" s="771">
        <v>80000</v>
      </c>
    </row>
    <row r="17" spans="1:27" ht="13.5" thickBot="1">
      <c r="A17" s="747"/>
      <c r="B17" s="764">
        <v>1.5</v>
      </c>
      <c r="C17" s="783">
        <v>86300</v>
      </c>
      <c r="D17" s="769">
        <v>94900</v>
      </c>
      <c r="E17" s="783">
        <v>8600</v>
      </c>
      <c r="F17" s="769">
        <v>103500</v>
      </c>
      <c r="G17" s="783">
        <v>17200</v>
      </c>
      <c r="H17" s="769">
        <v>112200</v>
      </c>
      <c r="I17" s="783">
        <v>25900</v>
      </c>
      <c r="J17" s="770">
        <v>120800</v>
      </c>
      <c r="K17" s="772">
        <v>25900</v>
      </c>
      <c r="L17" s="771">
        <v>8600</v>
      </c>
      <c r="M17" s="770">
        <v>129400</v>
      </c>
      <c r="N17" s="772">
        <v>25900</v>
      </c>
      <c r="O17" s="771">
        <v>17200</v>
      </c>
      <c r="P17" s="770">
        <v>142300</v>
      </c>
      <c r="Q17" s="772">
        <v>25900</v>
      </c>
      <c r="R17" s="771">
        <v>30100</v>
      </c>
      <c r="S17" s="770">
        <v>155300</v>
      </c>
      <c r="T17" s="772">
        <v>25900</v>
      </c>
      <c r="U17" s="771">
        <v>43100</v>
      </c>
      <c r="V17" s="770">
        <v>172500</v>
      </c>
      <c r="W17" s="772">
        <v>25900</v>
      </c>
      <c r="X17" s="771">
        <v>60300</v>
      </c>
      <c r="Y17" s="770">
        <v>194100</v>
      </c>
      <c r="Z17" s="772">
        <v>25900</v>
      </c>
      <c r="AA17" s="771">
        <v>81900</v>
      </c>
    </row>
    <row r="18" spans="1:27" ht="13.5" thickBot="1">
      <c r="A18" s="747"/>
      <c r="B18" s="737">
        <v>2</v>
      </c>
      <c r="C18" s="766">
        <v>88300</v>
      </c>
      <c r="D18" s="769">
        <v>97100</v>
      </c>
      <c r="E18" s="766">
        <v>8800</v>
      </c>
      <c r="F18" s="769">
        <v>106000</v>
      </c>
      <c r="G18" s="766">
        <v>17700</v>
      </c>
      <c r="H18" s="769">
        <v>114800</v>
      </c>
      <c r="I18" s="766">
        <v>26500</v>
      </c>
      <c r="J18" s="770">
        <v>123600</v>
      </c>
      <c r="K18" s="775">
        <v>26500</v>
      </c>
      <c r="L18" s="776">
        <v>8800</v>
      </c>
      <c r="M18" s="770">
        <v>132500</v>
      </c>
      <c r="N18" s="775">
        <v>26500</v>
      </c>
      <c r="O18" s="776">
        <v>17700</v>
      </c>
      <c r="P18" s="770">
        <v>145700</v>
      </c>
      <c r="Q18" s="775">
        <v>26500</v>
      </c>
      <c r="R18" s="776">
        <v>30900</v>
      </c>
      <c r="S18" s="770">
        <v>158900</v>
      </c>
      <c r="T18" s="775">
        <v>26500</v>
      </c>
      <c r="U18" s="776">
        <v>44100</v>
      </c>
      <c r="V18" s="770">
        <v>176600</v>
      </c>
      <c r="W18" s="775">
        <v>26500</v>
      </c>
      <c r="X18" s="776">
        <v>61800</v>
      </c>
      <c r="Y18" s="770">
        <v>198700</v>
      </c>
      <c r="Z18" s="775">
        <v>26500</v>
      </c>
      <c r="AA18" s="776">
        <v>83900</v>
      </c>
    </row>
    <row r="19" spans="1:27" ht="13.5" thickBot="1">
      <c r="A19" s="747"/>
      <c r="B19" s="737">
        <v>2.5</v>
      </c>
      <c r="C19" s="766">
        <v>90800</v>
      </c>
      <c r="D19" s="769">
        <v>99800</v>
      </c>
      <c r="E19" s="766">
        <v>9000</v>
      </c>
      <c r="F19" s="769">
        <v>108900</v>
      </c>
      <c r="G19" s="766">
        <v>18100</v>
      </c>
      <c r="H19" s="769">
        <v>118000</v>
      </c>
      <c r="I19" s="766">
        <v>27200</v>
      </c>
      <c r="J19" s="770">
        <v>127100</v>
      </c>
      <c r="K19" s="775">
        <v>27200</v>
      </c>
      <c r="L19" s="776">
        <v>9100</v>
      </c>
      <c r="M19" s="770">
        <v>136200</v>
      </c>
      <c r="N19" s="775">
        <v>27200</v>
      </c>
      <c r="O19" s="776">
        <v>18200</v>
      </c>
      <c r="P19" s="770">
        <v>149800</v>
      </c>
      <c r="Q19" s="775">
        <v>27200</v>
      </c>
      <c r="R19" s="776">
        <v>31800</v>
      </c>
      <c r="S19" s="770">
        <v>163400</v>
      </c>
      <c r="T19" s="775">
        <v>27200</v>
      </c>
      <c r="U19" s="776">
        <v>45400</v>
      </c>
      <c r="V19" s="770">
        <v>181500</v>
      </c>
      <c r="W19" s="775">
        <v>27200</v>
      </c>
      <c r="X19" s="776">
        <v>63500</v>
      </c>
      <c r="Y19" s="770">
        <v>204200</v>
      </c>
      <c r="Z19" s="775">
        <v>27200</v>
      </c>
      <c r="AA19" s="776">
        <v>86200</v>
      </c>
    </row>
    <row r="20" spans="1:27" ht="13.5" thickBot="1">
      <c r="A20" s="747"/>
      <c r="B20" s="737">
        <v>3</v>
      </c>
      <c r="C20" s="766">
        <v>93200</v>
      </c>
      <c r="D20" s="769">
        <v>102500</v>
      </c>
      <c r="E20" s="766">
        <v>9300</v>
      </c>
      <c r="F20" s="769">
        <v>111800</v>
      </c>
      <c r="G20" s="766">
        <v>18600</v>
      </c>
      <c r="H20" s="769">
        <v>121200</v>
      </c>
      <c r="I20" s="766">
        <v>28000</v>
      </c>
      <c r="J20" s="770">
        <v>130500</v>
      </c>
      <c r="K20" s="775">
        <v>28000</v>
      </c>
      <c r="L20" s="776">
        <v>9300</v>
      </c>
      <c r="M20" s="770">
        <v>139800</v>
      </c>
      <c r="N20" s="775">
        <v>28000</v>
      </c>
      <c r="O20" s="776">
        <v>18600</v>
      </c>
      <c r="P20" s="770">
        <v>153800</v>
      </c>
      <c r="Q20" s="775">
        <v>28000</v>
      </c>
      <c r="R20" s="776">
        <v>32600</v>
      </c>
      <c r="S20" s="770">
        <v>167800</v>
      </c>
      <c r="T20" s="775">
        <v>28000</v>
      </c>
      <c r="U20" s="776">
        <v>46600</v>
      </c>
      <c r="V20" s="770">
        <v>186400</v>
      </c>
      <c r="W20" s="775">
        <v>28000</v>
      </c>
      <c r="X20" s="776">
        <v>65200</v>
      </c>
      <c r="Y20" s="770">
        <v>209700</v>
      </c>
      <c r="Z20" s="775">
        <v>28000</v>
      </c>
      <c r="AA20" s="776">
        <v>88500</v>
      </c>
    </row>
    <row r="21" spans="1:27" ht="13.5" thickBot="1">
      <c r="A21" s="747"/>
      <c r="B21" s="737">
        <v>3.5</v>
      </c>
      <c r="C21" s="766">
        <v>96100</v>
      </c>
      <c r="D21" s="769">
        <v>105700</v>
      </c>
      <c r="E21" s="766">
        <v>9600</v>
      </c>
      <c r="F21" s="769">
        <v>115300</v>
      </c>
      <c r="G21" s="766">
        <v>19200</v>
      </c>
      <c r="H21" s="769">
        <v>125000</v>
      </c>
      <c r="I21" s="766">
        <v>28900</v>
      </c>
      <c r="J21" s="770">
        <v>134600</v>
      </c>
      <c r="K21" s="775">
        <v>28900</v>
      </c>
      <c r="L21" s="776">
        <v>9600</v>
      </c>
      <c r="M21" s="770">
        <v>144200</v>
      </c>
      <c r="N21" s="775">
        <v>28900</v>
      </c>
      <c r="O21" s="776">
        <v>19200</v>
      </c>
      <c r="P21" s="770">
        <v>158600</v>
      </c>
      <c r="Q21" s="775">
        <v>28900</v>
      </c>
      <c r="R21" s="776">
        <v>33600</v>
      </c>
      <c r="S21" s="770">
        <v>173000</v>
      </c>
      <c r="T21" s="775">
        <v>28900</v>
      </c>
      <c r="U21" s="776">
        <v>48000</v>
      </c>
      <c r="V21" s="770">
        <v>192200</v>
      </c>
      <c r="W21" s="775">
        <v>28900</v>
      </c>
      <c r="X21" s="776">
        <v>67200</v>
      </c>
      <c r="Y21" s="770">
        <v>216300</v>
      </c>
      <c r="Z21" s="775">
        <v>28900</v>
      </c>
      <c r="AA21" s="776">
        <v>91300</v>
      </c>
    </row>
    <row r="22" spans="1:27" ht="13.5" thickBot="1">
      <c r="A22" s="747"/>
      <c r="B22" s="737">
        <v>4</v>
      </c>
      <c r="C22" s="766">
        <v>99000</v>
      </c>
      <c r="D22" s="769">
        <v>108900</v>
      </c>
      <c r="E22" s="766">
        <v>9900</v>
      </c>
      <c r="F22" s="769">
        <v>118800</v>
      </c>
      <c r="G22" s="766">
        <v>19800</v>
      </c>
      <c r="H22" s="769">
        <v>128700</v>
      </c>
      <c r="I22" s="766">
        <v>29700</v>
      </c>
      <c r="J22" s="770">
        <v>138600</v>
      </c>
      <c r="K22" s="775">
        <v>29700</v>
      </c>
      <c r="L22" s="776">
        <v>9900</v>
      </c>
      <c r="M22" s="770">
        <v>148500</v>
      </c>
      <c r="N22" s="775">
        <v>29700</v>
      </c>
      <c r="O22" s="776">
        <v>19800</v>
      </c>
      <c r="P22" s="770">
        <v>163400</v>
      </c>
      <c r="Q22" s="775">
        <v>29700</v>
      </c>
      <c r="R22" s="776">
        <v>34700</v>
      </c>
      <c r="S22" s="770">
        <v>178200</v>
      </c>
      <c r="T22" s="775">
        <v>29700</v>
      </c>
      <c r="U22" s="776">
        <v>49500</v>
      </c>
      <c r="V22" s="770">
        <v>198000</v>
      </c>
      <c r="W22" s="775">
        <v>29700</v>
      </c>
      <c r="X22" s="776">
        <v>69300</v>
      </c>
      <c r="Y22" s="770">
        <v>222800</v>
      </c>
      <c r="Z22" s="775">
        <v>29700</v>
      </c>
      <c r="AA22" s="776">
        <v>94100</v>
      </c>
    </row>
    <row r="23" spans="1:27" ht="13.5" thickBot="1">
      <c r="A23" s="747"/>
      <c r="B23" s="754">
        <v>4.5</v>
      </c>
      <c r="C23" s="767">
        <v>102900</v>
      </c>
      <c r="D23" s="769">
        <v>113200</v>
      </c>
      <c r="E23" s="767">
        <v>10300</v>
      </c>
      <c r="F23" s="769">
        <v>123400</v>
      </c>
      <c r="G23" s="767">
        <v>20500</v>
      </c>
      <c r="H23" s="769">
        <v>133700</v>
      </c>
      <c r="I23" s="767">
        <v>30800</v>
      </c>
      <c r="J23" s="770">
        <v>144000</v>
      </c>
      <c r="K23" s="778">
        <v>30800</v>
      </c>
      <c r="L23" s="779">
        <v>10300</v>
      </c>
      <c r="M23" s="770">
        <v>154300</v>
      </c>
      <c r="N23" s="778">
        <v>30800</v>
      </c>
      <c r="O23" s="779">
        <v>20600</v>
      </c>
      <c r="P23" s="770">
        <v>169800</v>
      </c>
      <c r="Q23" s="778">
        <v>30800</v>
      </c>
      <c r="R23" s="779">
        <v>36100</v>
      </c>
      <c r="S23" s="770">
        <v>185200</v>
      </c>
      <c r="T23" s="778">
        <v>30800</v>
      </c>
      <c r="U23" s="779">
        <v>51500</v>
      </c>
      <c r="V23" s="770">
        <v>205700</v>
      </c>
      <c r="W23" s="778">
        <v>30800</v>
      </c>
      <c r="X23" s="779">
        <v>72000</v>
      </c>
      <c r="Y23" s="770">
        <v>231500</v>
      </c>
      <c r="Z23" s="778">
        <v>30800</v>
      </c>
      <c r="AA23" s="779">
        <v>97800</v>
      </c>
    </row>
    <row r="24" spans="1:27" ht="13.5" thickBot="1">
      <c r="A24" s="747"/>
      <c r="B24" s="737">
        <v>5</v>
      </c>
      <c r="C24" s="766">
        <v>106700</v>
      </c>
      <c r="D24" s="769">
        <v>117400</v>
      </c>
      <c r="E24" s="766">
        <v>10700</v>
      </c>
      <c r="F24" s="773">
        <v>128000</v>
      </c>
      <c r="G24" s="766">
        <v>21300</v>
      </c>
      <c r="H24" s="769">
        <v>138700</v>
      </c>
      <c r="I24" s="766">
        <v>32000</v>
      </c>
      <c r="J24" s="770">
        <v>149400</v>
      </c>
      <c r="K24" s="775">
        <v>32000</v>
      </c>
      <c r="L24" s="776">
        <v>10700</v>
      </c>
      <c r="M24" s="770">
        <v>160100</v>
      </c>
      <c r="N24" s="775">
        <v>32000</v>
      </c>
      <c r="O24" s="776">
        <v>21400</v>
      </c>
      <c r="P24" s="770">
        <v>176100</v>
      </c>
      <c r="Q24" s="775">
        <v>32000</v>
      </c>
      <c r="R24" s="776">
        <v>37400</v>
      </c>
      <c r="S24" s="770">
        <v>192100</v>
      </c>
      <c r="T24" s="775">
        <v>32000</v>
      </c>
      <c r="U24" s="776">
        <v>53400</v>
      </c>
      <c r="V24" s="770">
        <v>213400</v>
      </c>
      <c r="W24" s="775">
        <v>32000</v>
      </c>
      <c r="X24" s="776">
        <v>74700</v>
      </c>
      <c r="Y24" s="770">
        <v>240100</v>
      </c>
      <c r="Z24" s="775">
        <v>32000</v>
      </c>
      <c r="AA24" s="776">
        <v>101400</v>
      </c>
    </row>
    <row r="25" spans="1:27" ht="13.5" thickBot="1">
      <c r="A25" s="747"/>
      <c r="B25" s="738">
        <v>5.5</v>
      </c>
      <c r="C25" s="768">
        <v>110600</v>
      </c>
      <c r="D25" s="769">
        <v>121700</v>
      </c>
      <c r="E25" s="768">
        <v>11100</v>
      </c>
      <c r="F25" s="780">
        <v>132700</v>
      </c>
      <c r="G25" s="768">
        <v>22100</v>
      </c>
      <c r="H25" s="769">
        <v>143800</v>
      </c>
      <c r="I25" s="768">
        <v>33200</v>
      </c>
      <c r="J25" s="770">
        <v>154900</v>
      </c>
      <c r="K25" s="781">
        <v>33200</v>
      </c>
      <c r="L25" s="782">
        <v>11100</v>
      </c>
      <c r="M25" s="770">
        <v>166000</v>
      </c>
      <c r="N25" s="781">
        <v>33200</v>
      </c>
      <c r="O25" s="782">
        <v>22200</v>
      </c>
      <c r="P25" s="770">
        <v>182500</v>
      </c>
      <c r="Q25" s="781">
        <v>33200</v>
      </c>
      <c r="R25" s="782">
        <v>38700</v>
      </c>
      <c r="S25" s="770">
        <v>199100</v>
      </c>
      <c r="T25" s="781">
        <v>33200</v>
      </c>
      <c r="U25" s="782">
        <v>55300</v>
      </c>
      <c r="V25" s="770">
        <v>221200</v>
      </c>
      <c r="W25" s="781">
        <v>33200</v>
      </c>
      <c r="X25" s="782">
        <v>77400</v>
      </c>
      <c r="Y25" s="770">
        <v>248900</v>
      </c>
      <c r="Z25" s="781">
        <v>33200</v>
      </c>
      <c r="AA25" s="782">
        <v>105100</v>
      </c>
    </row>
    <row r="26" spans="1:27" ht="13.5" thickBot="1">
      <c r="A26" s="746" t="s">
        <v>15</v>
      </c>
      <c r="B26" s="736">
        <v>1</v>
      </c>
      <c r="C26" s="765">
        <v>99100</v>
      </c>
      <c r="D26" s="769">
        <v>109000</v>
      </c>
      <c r="E26" s="765">
        <v>9900</v>
      </c>
      <c r="F26" s="769">
        <v>118900</v>
      </c>
      <c r="G26" s="765">
        <v>19800</v>
      </c>
      <c r="H26" s="769">
        <v>128800</v>
      </c>
      <c r="I26" s="765">
        <v>29700</v>
      </c>
      <c r="J26" s="770">
        <v>138700</v>
      </c>
      <c r="K26" s="772">
        <v>29700</v>
      </c>
      <c r="L26" s="771">
        <v>9900</v>
      </c>
      <c r="M26" s="770">
        <v>148700</v>
      </c>
      <c r="N26" s="772">
        <v>29700</v>
      </c>
      <c r="O26" s="771">
        <v>19900</v>
      </c>
      <c r="P26" s="770">
        <v>163500</v>
      </c>
      <c r="Q26" s="772">
        <v>29700</v>
      </c>
      <c r="R26" s="771">
        <v>34700</v>
      </c>
      <c r="S26" s="770">
        <v>178400</v>
      </c>
      <c r="T26" s="772">
        <v>29700</v>
      </c>
      <c r="U26" s="771">
        <v>49600</v>
      </c>
      <c r="V26" s="770">
        <v>198200</v>
      </c>
      <c r="W26" s="772">
        <v>29700</v>
      </c>
      <c r="X26" s="771">
        <v>69400</v>
      </c>
      <c r="Y26" s="770">
        <v>223000</v>
      </c>
      <c r="Z26" s="772">
        <v>29700</v>
      </c>
      <c r="AA26" s="771">
        <v>94200</v>
      </c>
    </row>
    <row r="27" spans="1:27" ht="13.5" thickBot="1">
      <c r="A27" s="747"/>
      <c r="B27" s="764">
        <v>1.5</v>
      </c>
      <c r="C27" s="783">
        <v>103000</v>
      </c>
      <c r="D27" s="769">
        <v>113300</v>
      </c>
      <c r="E27" s="783">
        <v>10300</v>
      </c>
      <c r="F27" s="769">
        <v>123600</v>
      </c>
      <c r="G27" s="783">
        <v>20600</v>
      </c>
      <c r="H27" s="769">
        <v>133800</v>
      </c>
      <c r="I27" s="783">
        <v>30800</v>
      </c>
      <c r="J27" s="770">
        <v>144100</v>
      </c>
      <c r="K27" s="772">
        <v>30800</v>
      </c>
      <c r="L27" s="771">
        <v>10300</v>
      </c>
      <c r="M27" s="770">
        <v>154500</v>
      </c>
      <c r="N27" s="772">
        <v>30800</v>
      </c>
      <c r="O27" s="771">
        <v>20700</v>
      </c>
      <c r="P27" s="770">
        <v>169900</v>
      </c>
      <c r="Q27" s="772">
        <v>30800</v>
      </c>
      <c r="R27" s="771">
        <v>36100</v>
      </c>
      <c r="S27" s="770">
        <v>185300</v>
      </c>
      <c r="T27" s="772">
        <v>30800</v>
      </c>
      <c r="U27" s="771">
        <v>51500</v>
      </c>
      <c r="V27" s="770">
        <v>205900</v>
      </c>
      <c r="W27" s="772">
        <v>30800</v>
      </c>
      <c r="X27" s="771">
        <v>72100</v>
      </c>
      <c r="Y27" s="770">
        <v>231700</v>
      </c>
      <c r="Z27" s="772">
        <v>30800</v>
      </c>
      <c r="AA27" s="771">
        <v>97900</v>
      </c>
    </row>
    <row r="28" spans="1:27" ht="13.5" thickBot="1">
      <c r="A28" s="747"/>
      <c r="B28" s="737">
        <v>2</v>
      </c>
      <c r="C28" s="766">
        <v>106800</v>
      </c>
      <c r="D28" s="769">
        <v>117500</v>
      </c>
      <c r="E28" s="766">
        <v>10700</v>
      </c>
      <c r="F28" s="769">
        <v>128200</v>
      </c>
      <c r="G28" s="766">
        <v>21400</v>
      </c>
      <c r="H28" s="769">
        <v>138800</v>
      </c>
      <c r="I28" s="766">
        <v>32000</v>
      </c>
      <c r="J28" s="770">
        <v>149500</v>
      </c>
      <c r="K28" s="775">
        <v>32000</v>
      </c>
      <c r="L28" s="776">
        <v>10700</v>
      </c>
      <c r="M28" s="770">
        <v>160200</v>
      </c>
      <c r="N28" s="775">
        <v>32000</v>
      </c>
      <c r="O28" s="776">
        <v>21400</v>
      </c>
      <c r="P28" s="770">
        <v>176200</v>
      </c>
      <c r="Q28" s="775">
        <v>32000</v>
      </c>
      <c r="R28" s="776">
        <v>37400</v>
      </c>
      <c r="S28" s="770">
        <v>192200</v>
      </c>
      <c r="T28" s="775">
        <v>32000</v>
      </c>
      <c r="U28" s="776">
        <v>53400</v>
      </c>
      <c r="V28" s="770">
        <v>213600</v>
      </c>
      <c r="W28" s="775">
        <v>32000</v>
      </c>
      <c r="X28" s="776">
        <v>74800</v>
      </c>
      <c r="Y28" s="770">
        <v>240300</v>
      </c>
      <c r="Z28" s="775">
        <v>32000</v>
      </c>
      <c r="AA28" s="776">
        <v>101500</v>
      </c>
    </row>
    <row r="29" spans="1:27" ht="13.5" thickBot="1">
      <c r="A29" s="747"/>
      <c r="B29" s="737">
        <v>2.5</v>
      </c>
      <c r="C29" s="766">
        <v>110700</v>
      </c>
      <c r="D29" s="769">
        <v>121800</v>
      </c>
      <c r="E29" s="766">
        <v>11100</v>
      </c>
      <c r="F29" s="769">
        <v>132800</v>
      </c>
      <c r="G29" s="766">
        <v>22100</v>
      </c>
      <c r="H29" s="769">
        <v>143900</v>
      </c>
      <c r="I29" s="766">
        <v>33200</v>
      </c>
      <c r="J29" s="770">
        <v>154900</v>
      </c>
      <c r="K29" s="775">
        <v>33200</v>
      </c>
      <c r="L29" s="776">
        <v>11000</v>
      </c>
      <c r="M29" s="770">
        <v>166000</v>
      </c>
      <c r="N29" s="775">
        <v>33200</v>
      </c>
      <c r="O29" s="776">
        <v>22100</v>
      </c>
      <c r="P29" s="770">
        <v>182600</v>
      </c>
      <c r="Q29" s="775">
        <v>33200</v>
      </c>
      <c r="R29" s="776">
        <v>38700</v>
      </c>
      <c r="S29" s="770">
        <v>199200</v>
      </c>
      <c r="T29" s="775">
        <v>33200</v>
      </c>
      <c r="U29" s="776">
        <v>55300</v>
      </c>
      <c r="V29" s="770">
        <v>221300</v>
      </c>
      <c r="W29" s="775">
        <v>33200</v>
      </c>
      <c r="X29" s="776">
        <v>77400</v>
      </c>
      <c r="Y29" s="770">
        <v>249000</v>
      </c>
      <c r="Z29" s="775">
        <v>33200</v>
      </c>
      <c r="AA29" s="776">
        <v>105100</v>
      </c>
    </row>
    <row r="30" spans="1:27" ht="13.5" thickBot="1">
      <c r="A30" s="747"/>
      <c r="B30" s="737">
        <v>3</v>
      </c>
      <c r="C30" s="766">
        <v>114500</v>
      </c>
      <c r="D30" s="769">
        <v>126000</v>
      </c>
      <c r="E30" s="766">
        <v>11500</v>
      </c>
      <c r="F30" s="769">
        <v>137400</v>
      </c>
      <c r="G30" s="766">
        <v>22900</v>
      </c>
      <c r="H30" s="769">
        <v>148900</v>
      </c>
      <c r="I30" s="766">
        <v>34400</v>
      </c>
      <c r="J30" s="770">
        <v>160300</v>
      </c>
      <c r="K30" s="775">
        <v>34400</v>
      </c>
      <c r="L30" s="776">
        <v>11400</v>
      </c>
      <c r="M30" s="770">
        <v>171800</v>
      </c>
      <c r="N30" s="775">
        <v>34400</v>
      </c>
      <c r="O30" s="776">
        <v>22900</v>
      </c>
      <c r="P30" s="770">
        <v>188900</v>
      </c>
      <c r="Q30" s="775">
        <v>34400</v>
      </c>
      <c r="R30" s="776">
        <v>40000</v>
      </c>
      <c r="S30" s="770">
        <v>206100</v>
      </c>
      <c r="T30" s="775">
        <v>34400</v>
      </c>
      <c r="U30" s="776">
        <v>57200</v>
      </c>
      <c r="V30" s="770">
        <v>229000</v>
      </c>
      <c r="W30" s="775">
        <v>34400</v>
      </c>
      <c r="X30" s="776">
        <v>80100</v>
      </c>
      <c r="Y30" s="770">
        <v>257600</v>
      </c>
      <c r="Z30" s="775">
        <v>34400</v>
      </c>
      <c r="AA30" s="776">
        <v>108700</v>
      </c>
    </row>
    <row r="31" spans="1:27" ht="13.5" thickBot="1">
      <c r="A31" s="747"/>
      <c r="B31" s="737">
        <v>3.5</v>
      </c>
      <c r="C31" s="766">
        <v>118700</v>
      </c>
      <c r="D31" s="769">
        <v>130600</v>
      </c>
      <c r="E31" s="766">
        <v>11900</v>
      </c>
      <c r="F31" s="769">
        <v>142400</v>
      </c>
      <c r="G31" s="766">
        <v>23700</v>
      </c>
      <c r="H31" s="769">
        <v>154300</v>
      </c>
      <c r="I31" s="766">
        <v>35600</v>
      </c>
      <c r="J31" s="770">
        <v>166100</v>
      </c>
      <c r="K31" s="775">
        <v>35600</v>
      </c>
      <c r="L31" s="776">
        <v>11800</v>
      </c>
      <c r="M31" s="770">
        <v>178000</v>
      </c>
      <c r="N31" s="775">
        <v>35600</v>
      </c>
      <c r="O31" s="776">
        <v>23700</v>
      </c>
      <c r="P31" s="770">
        <v>195800</v>
      </c>
      <c r="Q31" s="775">
        <v>35600</v>
      </c>
      <c r="R31" s="776">
        <v>41500</v>
      </c>
      <c r="S31" s="770">
        <v>213600</v>
      </c>
      <c r="T31" s="775">
        <v>35600</v>
      </c>
      <c r="U31" s="776">
        <v>59300</v>
      </c>
      <c r="V31" s="770">
        <v>237300</v>
      </c>
      <c r="W31" s="775">
        <v>35600</v>
      </c>
      <c r="X31" s="776">
        <v>83000</v>
      </c>
      <c r="Y31" s="770">
        <v>267000</v>
      </c>
      <c r="Z31" s="775">
        <v>35600</v>
      </c>
      <c r="AA31" s="776">
        <v>112700</v>
      </c>
    </row>
    <row r="32" spans="1:27" ht="13.5" thickBot="1">
      <c r="A32" s="747"/>
      <c r="B32" s="737">
        <v>4</v>
      </c>
      <c r="C32" s="766">
        <v>122800</v>
      </c>
      <c r="D32" s="769">
        <v>135100</v>
      </c>
      <c r="E32" s="766">
        <v>12300</v>
      </c>
      <c r="F32" s="769">
        <v>147400</v>
      </c>
      <c r="G32" s="766">
        <v>24600</v>
      </c>
      <c r="H32" s="769">
        <v>159600</v>
      </c>
      <c r="I32" s="766">
        <v>36800</v>
      </c>
      <c r="J32" s="770">
        <v>171900</v>
      </c>
      <c r="K32" s="775">
        <v>36800</v>
      </c>
      <c r="L32" s="776">
        <v>12300</v>
      </c>
      <c r="M32" s="770">
        <v>184200</v>
      </c>
      <c r="N32" s="775">
        <v>36800</v>
      </c>
      <c r="O32" s="776">
        <v>24600</v>
      </c>
      <c r="P32" s="770">
        <v>202600</v>
      </c>
      <c r="Q32" s="775">
        <v>36800</v>
      </c>
      <c r="R32" s="776">
        <v>43000</v>
      </c>
      <c r="S32" s="770">
        <v>221000</v>
      </c>
      <c r="T32" s="775">
        <v>36800</v>
      </c>
      <c r="U32" s="776">
        <v>61400</v>
      </c>
      <c r="V32" s="770">
        <v>245600</v>
      </c>
      <c r="W32" s="775">
        <v>36800</v>
      </c>
      <c r="X32" s="776">
        <v>86000</v>
      </c>
      <c r="Y32" s="770">
        <v>276300</v>
      </c>
      <c r="Z32" s="775">
        <v>36800</v>
      </c>
      <c r="AA32" s="776">
        <v>116700</v>
      </c>
    </row>
    <row r="33" spans="1:27" ht="13.5" thickBot="1">
      <c r="A33" s="747"/>
      <c r="B33" s="737">
        <v>4.5</v>
      </c>
      <c r="C33" s="766">
        <v>127200</v>
      </c>
      <c r="D33" s="769">
        <v>140000</v>
      </c>
      <c r="E33" s="766">
        <v>12800</v>
      </c>
      <c r="F33" s="769">
        <v>152700</v>
      </c>
      <c r="G33" s="766">
        <v>25500</v>
      </c>
      <c r="H33" s="769">
        <v>165400</v>
      </c>
      <c r="I33" s="766">
        <v>38200</v>
      </c>
      <c r="J33" s="770">
        <v>178100</v>
      </c>
      <c r="K33" s="775">
        <v>38200</v>
      </c>
      <c r="L33" s="776">
        <v>12700</v>
      </c>
      <c r="M33" s="770">
        <v>190800</v>
      </c>
      <c r="N33" s="775">
        <v>38200</v>
      </c>
      <c r="O33" s="776">
        <v>25400</v>
      </c>
      <c r="P33" s="770">
        <v>209900</v>
      </c>
      <c r="Q33" s="775">
        <v>38200</v>
      </c>
      <c r="R33" s="776">
        <v>44500</v>
      </c>
      <c r="S33" s="770">
        <v>229000</v>
      </c>
      <c r="T33" s="775">
        <v>38200</v>
      </c>
      <c r="U33" s="776">
        <v>63600</v>
      </c>
      <c r="V33" s="770">
        <v>254400</v>
      </c>
      <c r="W33" s="775">
        <v>38200</v>
      </c>
      <c r="X33" s="776">
        <v>89000</v>
      </c>
      <c r="Y33" s="770">
        <v>286200</v>
      </c>
      <c r="Z33" s="775">
        <v>38200</v>
      </c>
      <c r="AA33" s="776">
        <v>120800</v>
      </c>
    </row>
    <row r="34" spans="1:27" ht="13.5" thickBot="1">
      <c r="A34" s="747"/>
      <c r="B34" s="737">
        <v>5</v>
      </c>
      <c r="C34" s="766">
        <v>131600</v>
      </c>
      <c r="D34" s="769">
        <v>144800</v>
      </c>
      <c r="E34" s="766">
        <v>13200</v>
      </c>
      <c r="F34" s="769">
        <v>157900</v>
      </c>
      <c r="G34" s="766">
        <v>26300</v>
      </c>
      <c r="H34" s="769">
        <v>171100</v>
      </c>
      <c r="I34" s="766">
        <v>39500</v>
      </c>
      <c r="J34" s="770">
        <v>184200</v>
      </c>
      <c r="K34" s="775">
        <v>39500</v>
      </c>
      <c r="L34" s="776">
        <v>13100</v>
      </c>
      <c r="M34" s="770">
        <v>197400</v>
      </c>
      <c r="N34" s="775">
        <v>39500</v>
      </c>
      <c r="O34" s="776">
        <v>26300</v>
      </c>
      <c r="P34" s="770">
        <v>217100</v>
      </c>
      <c r="Q34" s="775">
        <v>39500</v>
      </c>
      <c r="R34" s="776">
        <v>46000</v>
      </c>
      <c r="S34" s="770">
        <v>236900</v>
      </c>
      <c r="T34" s="775">
        <v>39500</v>
      </c>
      <c r="U34" s="776">
        <v>65800</v>
      </c>
      <c r="V34" s="770">
        <v>263200</v>
      </c>
      <c r="W34" s="775">
        <v>39500</v>
      </c>
      <c r="X34" s="776">
        <v>92100</v>
      </c>
      <c r="Y34" s="770">
        <v>296100</v>
      </c>
      <c r="Z34" s="775">
        <v>39500</v>
      </c>
      <c r="AA34" s="776">
        <v>125000</v>
      </c>
    </row>
    <row r="35" spans="1:27" ht="13.5" thickBot="1">
      <c r="A35" s="747"/>
      <c r="B35" s="737">
        <v>5.5</v>
      </c>
      <c r="C35" s="766">
        <v>137100</v>
      </c>
      <c r="D35" s="769">
        <v>150800</v>
      </c>
      <c r="E35" s="766">
        <v>13700</v>
      </c>
      <c r="F35" s="769">
        <v>164500</v>
      </c>
      <c r="G35" s="766">
        <v>27400</v>
      </c>
      <c r="H35" s="769">
        <v>178200</v>
      </c>
      <c r="I35" s="766">
        <v>41100</v>
      </c>
      <c r="J35" s="770">
        <v>191900</v>
      </c>
      <c r="K35" s="775">
        <v>41100</v>
      </c>
      <c r="L35" s="776">
        <v>13700</v>
      </c>
      <c r="M35" s="770">
        <v>205600</v>
      </c>
      <c r="N35" s="775">
        <v>41100</v>
      </c>
      <c r="O35" s="776">
        <v>27400</v>
      </c>
      <c r="P35" s="770">
        <v>226100</v>
      </c>
      <c r="Q35" s="775">
        <v>41100</v>
      </c>
      <c r="R35" s="776">
        <v>47900</v>
      </c>
      <c r="S35" s="770">
        <v>246700</v>
      </c>
      <c r="T35" s="775">
        <v>41100</v>
      </c>
      <c r="U35" s="776">
        <v>68500</v>
      </c>
      <c r="V35" s="770">
        <v>274100</v>
      </c>
      <c r="W35" s="775">
        <v>41100</v>
      </c>
      <c r="X35" s="776">
        <v>95900</v>
      </c>
      <c r="Y35" s="770">
        <v>308400</v>
      </c>
      <c r="Z35" s="775">
        <v>41100</v>
      </c>
      <c r="AA35" s="776">
        <v>130200</v>
      </c>
    </row>
    <row r="36" spans="1:27" ht="13.5" thickBot="1">
      <c r="A36" s="747"/>
      <c r="B36" s="737">
        <v>6</v>
      </c>
      <c r="C36" s="766">
        <v>142500</v>
      </c>
      <c r="D36" s="769">
        <v>156800</v>
      </c>
      <c r="E36" s="766">
        <v>14300</v>
      </c>
      <c r="F36" s="769">
        <v>171000</v>
      </c>
      <c r="G36" s="766">
        <v>28500</v>
      </c>
      <c r="H36" s="769">
        <v>185300</v>
      </c>
      <c r="I36" s="766">
        <v>42800</v>
      </c>
      <c r="J36" s="770">
        <v>199500</v>
      </c>
      <c r="K36" s="775">
        <v>42800</v>
      </c>
      <c r="L36" s="776">
        <v>14200</v>
      </c>
      <c r="M36" s="770">
        <v>213800</v>
      </c>
      <c r="N36" s="775">
        <v>42800</v>
      </c>
      <c r="O36" s="776">
        <v>28500</v>
      </c>
      <c r="P36" s="770">
        <v>235100</v>
      </c>
      <c r="Q36" s="775">
        <v>42800</v>
      </c>
      <c r="R36" s="776">
        <v>49800</v>
      </c>
      <c r="S36" s="770">
        <v>256500</v>
      </c>
      <c r="T36" s="775">
        <v>42800</v>
      </c>
      <c r="U36" s="776">
        <v>71200</v>
      </c>
      <c r="V36" s="770">
        <v>285000</v>
      </c>
      <c r="W36" s="775">
        <v>42800</v>
      </c>
      <c r="X36" s="776">
        <v>99700</v>
      </c>
      <c r="Y36" s="770">
        <v>320600</v>
      </c>
      <c r="Z36" s="775">
        <v>42800</v>
      </c>
      <c r="AA36" s="776">
        <v>135300</v>
      </c>
    </row>
    <row r="37" spans="1:27" ht="13.5" thickBot="1">
      <c r="A37" s="747"/>
      <c r="B37" s="737">
        <v>6.5</v>
      </c>
      <c r="C37" s="766">
        <v>148400</v>
      </c>
      <c r="D37" s="769">
        <v>163200</v>
      </c>
      <c r="E37" s="766">
        <v>14800</v>
      </c>
      <c r="F37" s="769">
        <v>178000</v>
      </c>
      <c r="G37" s="766">
        <v>29600</v>
      </c>
      <c r="H37" s="769">
        <v>192900</v>
      </c>
      <c r="I37" s="766">
        <v>44500</v>
      </c>
      <c r="J37" s="770">
        <v>207700</v>
      </c>
      <c r="K37" s="775">
        <v>44500</v>
      </c>
      <c r="L37" s="776">
        <v>14800</v>
      </c>
      <c r="M37" s="770">
        <v>222600</v>
      </c>
      <c r="N37" s="775">
        <v>44500</v>
      </c>
      <c r="O37" s="776">
        <v>29700</v>
      </c>
      <c r="P37" s="770">
        <v>244800</v>
      </c>
      <c r="Q37" s="775">
        <v>44500</v>
      </c>
      <c r="R37" s="776">
        <v>51900</v>
      </c>
      <c r="S37" s="770">
        <v>267100</v>
      </c>
      <c r="T37" s="775">
        <v>44500</v>
      </c>
      <c r="U37" s="776">
        <v>74200</v>
      </c>
      <c r="V37" s="770">
        <v>296700</v>
      </c>
      <c r="W37" s="775">
        <v>44500</v>
      </c>
      <c r="X37" s="776">
        <v>103800</v>
      </c>
      <c r="Y37" s="770">
        <v>333800</v>
      </c>
      <c r="Z37" s="775">
        <v>44500</v>
      </c>
      <c r="AA37" s="776">
        <v>140900</v>
      </c>
    </row>
    <row r="38" spans="1:27" ht="13.5" thickBot="1">
      <c r="A38" s="747"/>
      <c r="B38" s="737">
        <v>7</v>
      </c>
      <c r="C38" s="766">
        <v>154200</v>
      </c>
      <c r="D38" s="769">
        <v>169600</v>
      </c>
      <c r="E38" s="766">
        <v>15400</v>
      </c>
      <c r="F38" s="769">
        <v>185000</v>
      </c>
      <c r="G38" s="766">
        <v>30800</v>
      </c>
      <c r="H38" s="769">
        <v>200500</v>
      </c>
      <c r="I38" s="766">
        <v>46300</v>
      </c>
      <c r="J38" s="770">
        <v>215900</v>
      </c>
      <c r="K38" s="775">
        <v>46300</v>
      </c>
      <c r="L38" s="776">
        <v>15400</v>
      </c>
      <c r="M38" s="770">
        <v>231300</v>
      </c>
      <c r="N38" s="775">
        <v>46300</v>
      </c>
      <c r="O38" s="776">
        <v>30800</v>
      </c>
      <c r="P38" s="770">
        <v>254400</v>
      </c>
      <c r="Q38" s="775">
        <v>46300</v>
      </c>
      <c r="R38" s="776">
        <v>53900</v>
      </c>
      <c r="S38" s="770">
        <v>277600</v>
      </c>
      <c r="T38" s="775">
        <v>46300</v>
      </c>
      <c r="U38" s="776">
        <v>77100</v>
      </c>
      <c r="V38" s="770">
        <v>308400</v>
      </c>
      <c r="W38" s="775">
        <v>46300</v>
      </c>
      <c r="X38" s="776">
        <v>107900</v>
      </c>
      <c r="Y38" s="770">
        <v>347000</v>
      </c>
      <c r="Z38" s="775">
        <v>46300</v>
      </c>
      <c r="AA38" s="776">
        <v>146500</v>
      </c>
    </row>
    <row r="39" spans="1:27" ht="13.5" thickBot="1">
      <c r="A39" s="747"/>
      <c r="B39" s="754">
        <v>7.5</v>
      </c>
      <c r="C39" s="767">
        <v>160600</v>
      </c>
      <c r="D39" s="769">
        <v>176700</v>
      </c>
      <c r="E39" s="767">
        <v>16100</v>
      </c>
      <c r="F39" s="769">
        <v>192700</v>
      </c>
      <c r="G39" s="767">
        <v>32100</v>
      </c>
      <c r="H39" s="769">
        <v>208800</v>
      </c>
      <c r="I39" s="766">
        <v>48200</v>
      </c>
      <c r="J39" s="770">
        <v>224900</v>
      </c>
      <c r="K39" s="775">
        <v>48200</v>
      </c>
      <c r="L39" s="776">
        <v>16100</v>
      </c>
      <c r="M39" s="770">
        <v>240900</v>
      </c>
      <c r="N39" s="775">
        <v>48200</v>
      </c>
      <c r="O39" s="776">
        <v>32100</v>
      </c>
      <c r="P39" s="770">
        <v>265000</v>
      </c>
      <c r="Q39" s="775">
        <v>48200</v>
      </c>
      <c r="R39" s="776">
        <v>56200</v>
      </c>
      <c r="S39" s="770">
        <v>289100</v>
      </c>
      <c r="T39" s="775">
        <v>48200</v>
      </c>
      <c r="U39" s="776">
        <v>80300</v>
      </c>
      <c r="V39" s="770">
        <v>321200</v>
      </c>
      <c r="W39" s="775">
        <v>48200</v>
      </c>
      <c r="X39" s="776">
        <v>112400</v>
      </c>
      <c r="Y39" s="770">
        <v>361400</v>
      </c>
      <c r="Z39" s="775">
        <v>48200</v>
      </c>
      <c r="AA39" s="776">
        <v>152600</v>
      </c>
    </row>
    <row r="40" spans="1:27" ht="13.5" thickBot="1">
      <c r="A40" s="752"/>
      <c r="B40" s="754">
        <v>8</v>
      </c>
      <c r="C40" s="767">
        <v>167000</v>
      </c>
      <c r="D40" s="769">
        <v>183700</v>
      </c>
      <c r="E40" s="767">
        <v>16700</v>
      </c>
      <c r="F40" s="769">
        <v>200400</v>
      </c>
      <c r="G40" s="767">
        <v>33400</v>
      </c>
      <c r="H40" s="769">
        <v>217100</v>
      </c>
      <c r="I40" s="766">
        <v>50100</v>
      </c>
      <c r="J40" s="770">
        <v>233800</v>
      </c>
      <c r="K40" s="775">
        <v>50100</v>
      </c>
      <c r="L40" s="776">
        <v>16700</v>
      </c>
      <c r="M40" s="770">
        <v>250500</v>
      </c>
      <c r="N40" s="775">
        <v>50100</v>
      </c>
      <c r="O40" s="776">
        <v>33400</v>
      </c>
      <c r="P40" s="770">
        <v>275600</v>
      </c>
      <c r="Q40" s="775">
        <v>50100</v>
      </c>
      <c r="R40" s="776">
        <v>58500</v>
      </c>
      <c r="S40" s="770">
        <v>300600</v>
      </c>
      <c r="T40" s="775">
        <v>50100</v>
      </c>
      <c r="U40" s="776">
        <v>83500</v>
      </c>
      <c r="V40" s="770">
        <v>334000</v>
      </c>
      <c r="W40" s="775">
        <v>50100</v>
      </c>
      <c r="X40" s="776">
        <v>116900</v>
      </c>
      <c r="Y40" s="770">
        <v>375800</v>
      </c>
      <c r="Z40" s="775">
        <v>50100</v>
      </c>
      <c r="AA40" s="776">
        <v>158700</v>
      </c>
    </row>
    <row r="41" spans="1:27" ht="13.5" thickBot="1">
      <c r="A41" s="733"/>
      <c r="B41" s="754">
        <v>8.5</v>
      </c>
      <c r="C41" s="767">
        <v>174000</v>
      </c>
      <c r="D41" s="769">
        <v>191400</v>
      </c>
      <c r="E41" s="767">
        <v>17400</v>
      </c>
      <c r="F41" s="769">
        <v>208800</v>
      </c>
      <c r="G41" s="784">
        <v>34800</v>
      </c>
      <c r="H41" s="769">
        <v>226200</v>
      </c>
      <c r="I41" s="785">
        <v>52200</v>
      </c>
      <c r="J41" s="770">
        <v>243600</v>
      </c>
      <c r="K41" s="775">
        <v>52200</v>
      </c>
      <c r="L41" s="776">
        <v>17400</v>
      </c>
      <c r="M41" s="770">
        <v>261000</v>
      </c>
      <c r="N41" s="775">
        <v>52200</v>
      </c>
      <c r="O41" s="776">
        <v>34800</v>
      </c>
      <c r="P41" s="770">
        <v>287100</v>
      </c>
      <c r="Q41" s="775">
        <v>52200</v>
      </c>
      <c r="R41" s="776">
        <v>60900</v>
      </c>
      <c r="S41" s="770">
        <v>313100</v>
      </c>
      <c r="T41" s="775">
        <v>52200</v>
      </c>
      <c r="U41" s="776">
        <v>86900</v>
      </c>
      <c r="V41" s="770">
        <v>347900</v>
      </c>
      <c r="W41" s="775">
        <v>52200</v>
      </c>
      <c r="X41" s="776">
        <v>121700</v>
      </c>
      <c r="Y41" s="770">
        <v>391400</v>
      </c>
      <c r="Z41" s="775">
        <v>52200</v>
      </c>
      <c r="AA41" s="776">
        <v>165200</v>
      </c>
    </row>
    <row r="42" spans="1:27" ht="13.5" thickBot="1">
      <c r="A42" s="747"/>
      <c r="B42" s="737">
        <v>9</v>
      </c>
      <c r="C42" s="766">
        <v>180900</v>
      </c>
      <c r="D42" s="769">
        <v>199000</v>
      </c>
      <c r="E42" s="766">
        <v>18100</v>
      </c>
      <c r="F42" s="769">
        <v>217100</v>
      </c>
      <c r="G42" s="766">
        <v>36200</v>
      </c>
      <c r="H42" s="769">
        <v>235200</v>
      </c>
      <c r="I42" s="766">
        <v>54300</v>
      </c>
      <c r="J42" s="770">
        <v>253300</v>
      </c>
      <c r="K42" s="775">
        <v>54300</v>
      </c>
      <c r="L42" s="776">
        <v>18100</v>
      </c>
      <c r="M42" s="770">
        <v>271400</v>
      </c>
      <c r="N42" s="775">
        <v>54300</v>
      </c>
      <c r="O42" s="776">
        <v>36200</v>
      </c>
      <c r="P42" s="770">
        <v>298500</v>
      </c>
      <c r="Q42" s="775">
        <v>54300</v>
      </c>
      <c r="R42" s="776">
        <v>63300</v>
      </c>
      <c r="S42" s="770">
        <v>325600</v>
      </c>
      <c r="T42" s="775">
        <v>54300</v>
      </c>
      <c r="U42" s="776">
        <v>90400</v>
      </c>
      <c r="V42" s="770">
        <v>361800</v>
      </c>
      <c r="W42" s="775">
        <v>54300</v>
      </c>
      <c r="X42" s="776">
        <v>126600</v>
      </c>
      <c r="Y42" s="770">
        <v>407000</v>
      </c>
      <c r="Z42" s="775">
        <v>54300</v>
      </c>
      <c r="AA42" s="776">
        <v>171800</v>
      </c>
    </row>
    <row r="43" spans="1:27" ht="13.5" thickBot="1">
      <c r="A43" s="753"/>
      <c r="B43" s="738">
        <v>9.5</v>
      </c>
      <c r="C43" s="768">
        <v>188400</v>
      </c>
      <c r="D43" s="769">
        <v>207300</v>
      </c>
      <c r="E43" s="768">
        <v>18900</v>
      </c>
      <c r="F43" s="769">
        <v>226100</v>
      </c>
      <c r="G43" s="786">
        <v>37700</v>
      </c>
      <c r="H43" s="769">
        <v>245000</v>
      </c>
      <c r="I43" s="787">
        <v>56600</v>
      </c>
      <c r="J43" s="770">
        <v>263800</v>
      </c>
      <c r="K43" s="775">
        <v>56600</v>
      </c>
      <c r="L43" s="776">
        <v>18800</v>
      </c>
      <c r="M43" s="770">
        <v>282700</v>
      </c>
      <c r="N43" s="775">
        <v>56600</v>
      </c>
      <c r="O43" s="776">
        <v>37700</v>
      </c>
      <c r="P43" s="770">
        <v>310900</v>
      </c>
      <c r="Q43" s="775">
        <v>56600</v>
      </c>
      <c r="R43" s="776">
        <v>65900</v>
      </c>
      <c r="S43" s="770">
        <v>339100</v>
      </c>
      <c r="T43" s="775">
        <v>56600</v>
      </c>
      <c r="U43" s="776">
        <v>94100</v>
      </c>
      <c r="V43" s="770">
        <v>376800</v>
      </c>
      <c r="W43" s="775">
        <v>56600</v>
      </c>
      <c r="X43" s="776">
        <v>131800</v>
      </c>
      <c r="Y43" s="770">
        <v>423900</v>
      </c>
      <c r="Z43" s="775">
        <v>56600</v>
      </c>
      <c r="AA43" s="776">
        <v>178900</v>
      </c>
    </row>
    <row r="44" ht="13.5" thickBot="1"/>
    <row r="45" spans="4:21" ht="13.5" thickBot="1">
      <c r="D45" s="943" t="s">
        <v>66</v>
      </c>
      <c r="E45" s="944"/>
      <c r="F45" s="944"/>
      <c r="G45" s="944"/>
      <c r="H45" s="944"/>
      <c r="I45" s="944"/>
      <c r="J45" s="944"/>
      <c r="K45" s="944"/>
      <c r="L45" s="945"/>
      <c r="M45" s="943" t="s">
        <v>68</v>
      </c>
      <c r="N45" s="944"/>
      <c r="O45" s="944"/>
      <c r="P45" s="944"/>
      <c r="Q45" s="944"/>
      <c r="R45" s="944"/>
      <c r="S45" s="945"/>
      <c r="T45" s="854"/>
      <c r="U45" s="856" t="s">
        <v>81</v>
      </c>
    </row>
    <row r="46" spans="1:21" ht="12.75">
      <c r="A46" s="735"/>
      <c r="B46" s="735"/>
      <c r="C46" s="739" t="s">
        <v>8</v>
      </c>
      <c r="D46" s="740" t="s">
        <v>9</v>
      </c>
      <c r="E46" s="742" t="s">
        <v>9</v>
      </c>
      <c r="F46" s="742" t="s">
        <v>9</v>
      </c>
      <c r="G46" s="742" t="s">
        <v>9</v>
      </c>
      <c r="H46" s="742" t="s">
        <v>9</v>
      </c>
      <c r="I46" s="742" t="s">
        <v>9</v>
      </c>
      <c r="J46" s="792" t="s">
        <v>9</v>
      </c>
      <c r="K46" s="742" t="s">
        <v>9</v>
      </c>
      <c r="L46" s="741" t="s">
        <v>9</v>
      </c>
      <c r="M46" s="792" t="s">
        <v>9</v>
      </c>
      <c r="N46" s="792" t="s">
        <v>9</v>
      </c>
      <c r="O46" s="792" t="s">
        <v>9</v>
      </c>
      <c r="P46" s="742" t="s">
        <v>9</v>
      </c>
      <c r="Q46" s="742" t="s">
        <v>9</v>
      </c>
      <c r="R46" s="741" t="s">
        <v>9</v>
      </c>
      <c r="S46" s="791"/>
      <c r="U46" s="856" t="s">
        <v>79</v>
      </c>
    </row>
    <row r="47" spans="1:21" ht="13.5" thickBot="1">
      <c r="A47" s="794" t="s">
        <v>10</v>
      </c>
      <c r="B47" s="790" t="s">
        <v>11</v>
      </c>
      <c r="C47" s="797" t="s">
        <v>9</v>
      </c>
      <c r="D47" s="838">
        <v>1</v>
      </c>
      <c r="E47" s="805">
        <v>2</v>
      </c>
      <c r="F47" s="805">
        <v>3</v>
      </c>
      <c r="G47" s="805">
        <v>4</v>
      </c>
      <c r="H47" s="805">
        <v>5</v>
      </c>
      <c r="I47" s="805">
        <v>6</v>
      </c>
      <c r="J47" s="805">
        <v>7</v>
      </c>
      <c r="K47" s="803">
        <v>8</v>
      </c>
      <c r="L47" s="801">
        <v>9</v>
      </c>
      <c r="M47" s="828">
        <v>4</v>
      </c>
      <c r="N47" s="827">
        <v>5</v>
      </c>
      <c r="O47" s="827">
        <v>6</v>
      </c>
      <c r="P47" s="828">
        <v>7</v>
      </c>
      <c r="Q47" s="828">
        <v>8</v>
      </c>
      <c r="R47" s="810">
        <v>9</v>
      </c>
      <c r="S47" s="793"/>
      <c r="U47" s="856" t="s">
        <v>82</v>
      </c>
    </row>
    <row r="48" spans="1:19" ht="13.5" thickBot="1">
      <c r="A48" s="795" t="s">
        <v>12</v>
      </c>
      <c r="B48" s="751" t="s">
        <v>51</v>
      </c>
      <c r="C48" s="749">
        <v>58500</v>
      </c>
      <c r="D48" s="804">
        <v>5900</v>
      </c>
      <c r="E48" s="804">
        <v>11700</v>
      </c>
      <c r="F48" s="804">
        <v>17600</v>
      </c>
      <c r="G48" s="804">
        <v>17600</v>
      </c>
      <c r="H48" s="804">
        <v>17600</v>
      </c>
      <c r="I48" s="804">
        <v>17600</v>
      </c>
      <c r="J48" s="753">
        <v>17600</v>
      </c>
      <c r="K48" s="804">
        <v>17600</v>
      </c>
      <c r="L48" s="802">
        <v>17600</v>
      </c>
      <c r="M48" s="836">
        <v>5800</v>
      </c>
      <c r="N48" s="836">
        <v>11700</v>
      </c>
      <c r="O48" s="837">
        <v>20400</v>
      </c>
      <c r="P48" s="829">
        <v>29200</v>
      </c>
      <c r="Q48" s="837">
        <v>40900</v>
      </c>
      <c r="R48" s="750">
        <v>55500</v>
      </c>
      <c r="S48" s="839"/>
    </row>
    <row r="49" spans="1:18" ht="12.75">
      <c r="A49" t="s">
        <v>17</v>
      </c>
      <c r="B49" s="4">
        <v>0</v>
      </c>
      <c r="D49">
        <v>0</v>
      </c>
      <c r="E49">
        <v>0</v>
      </c>
      <c r="F49">
        <v>0</v>
      </c>
      <c r="G49">
        <v>0</v>
      </c>
      <c r="H49">
        <v>0</v>
      </c>
      <c r="I49">
        <v>0</v>
      </c>
      <c r="J49">
        <v>0</v>
      </c>
      <c r="K49">
        <v>0</v>
      </c>
      <c r="L49">
        <v>0</v>
      </c>
      <c r="M49">
        <v>0</v>
      </c>
      <c r="N49">
        <v>0</v>
      </c>
      <c r="O49">
        <v>0</v>
      </c>
      <c r="P49">
        <v>0</v>
      </c>
      <c r="Q49">
        <v>0</v>
      </c>
      <c r="R49">
        <v>0</v>
      </c>
    </row>
    <row r="50" spans="1:2" ht="12.75">
      <c r="A50" t="s">
        <v>50</v>
      </c>
      <c r="B50">
        <v>0</v>
      </c>
    </row>
    <row r="51" spans="1:18" ht="13.5" thickBot="1">
      <c r="A51" s="796" t="s">
        <v>16</v>
      </c>
      <c r="C51" s="818" t="s">
        <v>1</v>
      </c>
      <c r="D51" s="819">
        <v>1</v>
      </c>
      <c r="E51" s="819">
        <v>2</v>
      </c>
      <c r="F51" s="819">
        <v>3</v>
      </c>
      <c r="G51" s="819">
        <v>4</v>
      </c>
      <c r="H51" s="819">
        <v>5</v>
      </c>
      <c r="I51" s="819">
        <v>6</v>
      </c>
      <c r="J51" s="819">
        <v>7</v>
      </c>
      <c r="K51" s="819">
        <v>8</v>
      </c>
      <c r="L51" s="801">
        <v>9</v>
      </c>
      <c r="M51" s="814">
        <v>4</v>
      </c>
      <c r="N51" s="814">
        <v>5</v>
      </c>
      <c r="O51" s="814">
        <v>6</v>
      </c>
      <c r="P51" s="814">
        <v>7</v>
      </c>
      <c r="Q51" s="814">
        <v>8</v>
      </c>
      <c r="R51" s="809">
        <v>9</v>
      </c>
    </row>
    <row r="52" spans="1:19" ht="12.75">
      <c r="A52" s="734" t="s">
        <v>13</v>
      </c>
      <c r="B52" s="736">
        <v>1</v>
      </c>
      <c r="C52" s="798">
        <v>67800</v>
      </c>
      <c r="D52" s="806">
        <v>6800</v>
      </c>
      <c r="E52" s="806">
        <v>13600</v>
      </c>
      <c r="F52" s="806">
        <v>20300</v>
      </c>
      <c r="G52" s="806">
        <v>20300</v>
      </c>
      <c r="H52" s="806">
        <v>20300</v>
      </c>
      <c r="I52" s="806">
        <v>20300</v>
      </c>
      <c r="J52" s="840">
        <v>20300</v>
      </c>
      <c r="K52" s="806">
        <v>20300</v>
      </c>
      <c r="L52" s="820">
        <v>20300</v>
      </c>
      <c r="M52" s="843">
        <v>6800</v>
      </c>
      <c r="N52" s="815">
        <v>13600</v>
      </c>
      <c r="O52" s="815">
        <v>23800</v>
      </c>
      <c r="P52" s="815">
        <v>33900</v>
      </c>
      <c r="Q52" s="815">
        <v>47500</v>
      </c>
      <c r="R52" s="811">
        <v>64500</v>
      </c>
      <c r="S52" s="852"/>
    </row>
    <row r="53" spans="1:19" ht="12.75">
      <c r="A53" s="788"/>
      <c r="B53" s="737">
        <v>2</v>
      </c>
      <c r="C53" s="799">
        <v>71900</v>
      </c>
      <c r="D53" s="807">
        <v>7200</v>
      </c>
      <c r="E53" s="807">
        <v>14400</v>
      </c>
      <c r="F53" s="807">
        <v>21600</v>
      </c>
      <c r="G53" s="807">
        <v>21600</v>
      </c>
      <c r="H53" s="807">
        <v>21600</v>
      </c>
      <c r="I53" s="807">
        <v>21600</v>
      </c>
      <c r="J53" s="841">
        <v>21600</v>
      </c>
      <c r="K53" s="807">
        <v>21600</v>
      </c>
      <c r="L53" s="822">
        <v>21600</v>
      </c>
      <c r="M53" s="844">
        <v>7200</v>
      </c>
      <c r="N53" s="816">
        <v>14400</v>
      </c>
      <c r="O53" s="816">
        <v>25100</v>
      </c>
      <c r="P53" s="816">
        <v>35900</v>
      </c>
      <c r="Q53" s="816">
        <v>50300</v>
      </c>
      <c r="R53" s="812">
        <v>68300</v>
      </c>
      <c r="S53" s="853"/>
    </row>
    <row r="54" spans="1:19" ht="12.75">
      <c r="A54" s="788"/>
      <c r="B54" s="737">
        <v>2.5</v>
      </c>
      <c r="C54" s="799">
        <v>73900</v>
      </c>
      <c r="D54" s="807">
        <v>7400</v>
      </c>
      <c r="E54" s="807">
        <v>14800</v>
      </c>
      <c r="F54" s="807">
        <v>22100</v>
      </c>
      <c r="G54" s="807">
        <v>22100</v>
      </c>
      <c r="H54" s="807">
        <v>22100</v>
      </c>
      <c r="I54" s="807">
        <v>22100</v>
      </c>
      <c r="J54" s="841">
        <v>22100</v>
      </c>
      <c r="K54" s="807">
        <v>22100</v>
      </c>
      <c r="L54" s="822">
        <v>22100</v>
      </c>
      <c r="M54" s="844">
        <v>7400</v>
      </c>
      <c r="N54" s="816">
        <v>14800</v>
      </c>
      <c r="O54" s="816">
        <v>25900</v>
      </c>
      <c r="P54" s="816">
        <v>36900</v>
      </c>
      <c r="Q54" s="816">
        <v>51700</v>
      </c>
      <c r="R54" s="812">
        <v>70200</v>
      </c>
      <c r="S54" s="853"/>
    </row>
    <row r="55" spans="1:19" ht="12.75">
      <c r="A55" s="788"/>
      <c r="B55" s="737">
        <v>3</v>
      </c>
      <c r="C55" s="799">
        <v>75800</v>
      </c>
      <c r="D55" s="807">
        <v>7600</v>
      </c>
      <c r="E55" s="807">
        <v>15200</v>
      </c>
      <c r="F55" s="807">
        <v>22700</v>
      </c>
      <c r="G55" s="807">
        <v>22700</v>
      </c>
      <c r="H55" s="807">
        <v>22700</v>
      </c>
      <c r="I55" s="807">
        <v>22700</v>
      </c>
      <c r="J55" s="841">
        <v>22700</v>
      </c>
      <c r="K55" s="807">
        <v>22700</v>
      </c>
      <c r="L55" s="822">
        <v>22700</v>
      </c>
      <c r="M55" s="844">
        <v>7600</v>
      </c>
      <c r="N55" s="816">
        <v>15200</v>
      </c>
      <c r="O55" s="816">
        <v>26600</v>
      </c>
      <c r="P55" s="816">
        <v>37900</v>
      </c>
      <c r="Q55" s="816">
        <v>53100</v>
      </c>
      <c r="R55" s="812">
        <v>72100</v>
      </c>
      <c r="S55" s="853"/>
    </row>
    <row r="56" spans="1:19" ht="12.75">
      <c r="A56" s="788"/>
      <c r="B56" s="737">
        <v>3.5</v>
      </c>
      <c r="C56" s="799">
        <v>78000</v>
      </c>
      <c r="D56" s="807">
        <v>7800</v>
      </c>
      <c r="E56" s="807">
        <v>15600</v>
      </c>
      <c r="F56" s="807">
        <v>23400</v>
      </c>
      <c r="G56" s="807">
        <v>23400</v>
      </c>
      <c r="H56" s="807">
        <v>23400</v>
      </c>
      <c r="I56" s="807">
        <v>23400</v>
      </c>
      <c r="J56" s="841">
        <v>23400</v>
      </c>
      <c r="K56" s="807">
        <v>23400</v>
      </c>
      <c r="L56" s="822">
        <v>23400</v>
      </c>
      <c r="M56" s="844">
        <v>7800</v>
      </c>
      <c r="N56" s="816">
        <v>15600</v>
      </c>
      <c r="O56" s="816">
        <v>27300</v>
      </c>
      <c r="P56" s="816">
        <v>39000</v>
      </c>
      <c r="Q56" s="816">
        <v>54600</v>
      </c>
      <c r="R56" s="812">
        <v>74200</v>
      </c>
      <c r="S56" s="853"/>
    </row>
    <row r="57" spans="1:19" ht="12.75">
      <c r="A57" s="788"/>
      <c r="B57" s="737">
        <v>4</v>
      </c>
      <c r="C57" s="799">
        <v>80200</v>
      </c>
      <c r="D57" s="807">
        <v>8000</v>
      </c>
      <c r="E57" s="807">
        <v>16000</v>
      </c>
      <c r="F57" s="807">
        <v>24100</v>
      </c>
      <c r="G57" s="807">
        <v>24100</v>
      </c>
      <c r="H57" s="807">
        <v>24100</v>
      </c>
      <c r="I57" s="807">
        <v>24100</v>
      </c>
      <c r="J57" s="841">
        <v>24100</v>
      </c>
      <c r="K57" s="807">
        <v>24100</v>
      </c>
      <c r="L57" s="822">
        <v>24100</v>
      </c>
      <c r="M57" s="844">
        <v>8000</v>
      </c>
      <c r="N57" s="816">
        <v>16000</v>
      </c>
      <c r="O57" s="816">
        <v>28000</v>
      </c>
      <c r="P57" s="816">
        <v>40100</v>
      </c>
      <c r="Q57" s="816">
        <v>56100</v>
      </c>
      <c r="R57" s="812">
        <v>76200</v>
      </c>
      <c r="S57" s="853"/>
    </row>
    <row r="58" spans="1:19" ht="12.75">
      <c r="A58" s="788"/>
      <c r="B58" s="737">
        <v>4.5</v>
      </c>
      <c r="C58" s="799">
        <v>82200</v>
      </c>
      <c r="D58" s="807">
        <v>8200</v>
      </c>
      <c r="E58" s="807">
        <v>16400</v>
      </c>
      <c r="F58" s="807">
        <v>24600</v>
      </c>
      <c r="G58" s="807">
        <v>24600</v>
      </c>
      <c r="H58" s="807">
        <v>24600</v>
      </c>
      <c r="I58" s="807">
        <v>24600</v>
      </c>
      <c r="J58" s="841">
        <v>24600</v>
      </c>
      <c r="K58" s="807">
        <v>24600</v>
      </c>
      <c r="L58" s="822">
        <v>24600</v>
      </c>
      <c r="M58" s="844">
        <v>8200</v>
      </c>
      <c r="N58" s="816">
        <v>16500</v>
      </c>
      <c r="O58" s="816">
        <v>28800</v>
      </c>
      <c r="P58" s="816">
        <v>41100</v>
      </c>
      <c r="Q58" s="816">
        <v>57500</v>
      </c>
      <c r="R58" s="812">
        <v>78100</v>
      </c>
      <c r="S58" s="853"/>
    </row>
    <row r="59" spans="1:19" ht="12.75">
      <c r="A59" s="788"/>
      <c r="B59" s="737">
        <v>5</v>
      </c>
      <c r="C59" s="799">
        <v>84100</v>
      </c>
      <c r="D59" s="807">
        <v>8400</v>
      </c>
      <c r="E59" s="807">
        <v>16800</v>
      </c>
      <c r="F59" s="807">
        <v>25200</v>
      </c>
      <c r="G59" s="807">
        <v>25200</v>
      </c>
      <c r="H59" s="807">
        <v>25200</v>
      </c>
      <c r="I59" s="807">
        <v>25200</v>
      </c>
      <c r="J59" s="841">
        <v>25200</v>
      </c>
      <c r="K59" s="807">
        <v>25200</v>
      </c>
      <c r="L59" s="822">
        <v>25200</v>
      </c>
      <c r="M59" s="844">
        <v>8400</v>
      </c>
      <c r="N59" s="816">
        <v>16900</v>
      </c>
      <c r="O59" s="816">
        <v>29500</v>
      </c>
      <c r="P59" s="816">
        <v>42100</v>
      </c>
      <c r="Q59" s="816">
        <v>58900</v>
      </c>
      <c r="R59" s="812">
        <v>79900</v>
      </c>
      <c r="S59" s="853"/>
    </row>
    <row r="60" spans="1:19" ht="12.75">
      <c r="A60" s="788"/>
      <c r="B60" s="754">
        <v>5.5</v>
      </c>
      <c r="C60" s="799">
        <v>86200</v>
      </c>
      <c r="D60" s="807">
        <v>8600</v>
      </c>
      <c r="E60" s="807">
        <v>17200</v>
      </c>
      <c r="F60" s="807">
        <v>25800</v>
      </c>
      <c r="G60" s="807">
        <v>25800</v>
      </c>
      <c r="H60" s="807">
        <v>25800</v>
      </c>
      <c r="I60" s="807">
        <v>25800</v>
      </c>
      <c r="J60" s="841">
        <v>25800</v>
      </c>
      <c r="K60" s="807">
        <v>25800</v>
      </c>
      <c r="L60" s="822">
        <v>25800</v>
      </c>
      <c r="M60" s="844">
        <v>8600</v>
      </c>
      <c r="N60" s="816">
        <v>17300</v>
      </c>
      <c r="O60" s="816">
        <v>30200</v>
      </c>
      <c r="P60" s="816">
        <v>43100</v>
      </c>
      <c r="Q60" s="816">
        <v>60300</v>
      </c>
      <c r="R60" s="812">
        <v>81900</v>
      </c>
      <c r="S60" s="857"/>
    </row>
    <row r="61" spans="1:19" ht="12.75">
      <c r="A61" s="788"/>
      <c r="B61" s="754">
        <v>6</v>
      </c>
      <c r="C61" s="799">
        <v>88200</v>
      </c>
      <c r="D61" s="807">
        <v>8800</v>
      </c>
      <c r="E61" s="807">
        <v>17600</v>
      </c>
      <c r="F61" s="807">
        <v>26500</v>
      </c>
      <c r="G61" s="807">
        <v>26500</v>
      </c>
      <c r="H61" s="807">
        <v>26500</v>
      </c>
      <c r="I61" s="807">
        <v>26500</v>
      </c>
      <c r="J61" s="841">
        <v>26500</v>
      </c>
      <c r="K61" s="807">
        <v>26500</v>
      </c>
      <c r="L61" s="822">
        <v>26500</v>
      </c>
      <c r="M61" s="844">
        <v>8800</v>
      </c>
      <c r="N61" s="816">
        <v>17600</v>
      </c>
      <c r="O61" s="816">
        <v>30800</v>
      </c>
      <c r="P61" s="816">
        <v>44100</v>
      </c>
      <c r="Q61" s="816">
        <v>61700</v>
      </c>
      <c r="R61" s="812">
        <v>83800</v>
      </c>
      <c r="S61" s="857"/>
    </row>
    <row r="62" spans="1:19" ht="13.5" thickBot="1">
      <c r="A62" s="789"/>
      <c r="B62" s="738">
        <v>6.5</v>
      </c>
      <c r="C62" s="799">
        <v>90700</v>
      </c>
      <c r="D62" s="807">
        <v>9100</v>
      </c>
      <c r="E62" s="807">
        <v>18100</v>
      </c>
      <c r="F62" s="807">
        <v>27300</v>
      </c>
      <c r="G62" s="807">
        <v>27300</v>
      </c>
      <c r="H62" s="807">
        <v>27300</v>
      </c>
      <c r="I62" s="807">
        <v>27300</v>
      </c>
      <c r="J62" s="841">
        <v>27300</v>
      </c>
      <c r="K62" s="807">
        <v>27300</v>
      </c>
      <c r="L62" s="822">
        <v>27300</v>
      </c>
      <c r="M62" s="844">
        <v>9000</v>
      </c>
      <c r="N62" s="816">
        <v>18100</v>
      </c>
      <c r="O62" s="816">
        <v>31700</v>
      </c>
      <c r="P62" s="816">
        <v>45300</v>
      </c>
      <c r="Q62" s="816">
        <v>63400</v>
      </c>
      <c r="R62" s="812">
        <v>86100</v>
      </c>
      <c r="S62" s="851"/>
    </row>
    <row r="63" spans="4:18" ht="12.75">
      <c r="D63">
        <v>0</v>
      </c>
      <c r="E63">
        <v>0</v>
      </c>
      <c r="F63">
        <v>0</v>
      </c>
      <c r="G63">
        <v>0</v>
      </c>
      <c r="H63">
        <v>0</v>
      </c>
      <c r="I63">
        <v>0</v>
      </c>
      <c r="J63">
        <v>0</v>
      </c>
      <c r="K63">
        <v>0</v>
      </c>
      <c r="L63">
        <v>0</v>
      </c>
      <c r="M63">
        <v>0</v>
      </c>
      <c r="N63">
        <v>0</v>
      </c>
      <c r="O63">
        <v>0</v>
      </c>
      <c r="P63">
        <v>0</v>
      </c>
      <c r="Q63">
        <v>0</v>
      </c>
      <c r="R63">
        <v>0</v>
      </c>
    </row>
    <row r="64" spans="1:2" ht="12.75">
      <c r="A64" t="s">
        <v>17</v>
      </c>
      <c r="B64">
        <v>0</v>
      </c>
    </row>
    <row r="65" spans="1:2" ht="12.75">
      <c r="A65" t="s">
        <v>0</v>
      </c>
      <c r="B65">
        <v>0</v>
      </c>
    </row>
    <row r="68" spans="1:18" ht="13.5" thickBot="1">
      <c r="A68" s="796" t="s">
        <v>16</v>
      </c>
      <c r="C68" s="818" t="s">
        <v>1</v>
      </c>
      <c r="D68" s="819">
        <v>1</v>
      </c>
      <c r="E68" s="819">
        <v>2</v>
      </c>
      <c r="F68" s="819">
        <v>3</v>
      </c>
      <c r="G68" s="819">
        <v>4</v>
      </c>
      <c r="H68" s="819">
        <v>5</v>
      </c>
      <c r="I68" s="819">
        <v>6</v>
      </c>
      <c r="J68" s="819">
        <v>7</v>
      </c>
      <c r="K68" s="819">
        <v>8</v>
      </c>
      <c r="L68" s="801">
        <v>9</v>
      </c>
      <c r="M68" s="814">
        <v>4</v>
      </c>
      <c r="N68" s="814">
        <v>5</v>
      </c>
      <c r="O68" s="814">
        <v>6</v>
      </c>
      <c r="P68" s="814">
        <v>7</v>
      </c>
      <c r="Q68" s="814">
        <v>8</v>
      </c>
      <c r="R68" s="814">
        <v>9</v>
      </c>
    </row>
    <row r="69" spans="1:19" ht="13.5" thickBot="1">
      <c r="A69" s="734" t="s">
        <v>14</v>
      </c>
      <c r="B69" s="736">
        <v>1</v>
      </c>
      <c r="C69" s="798">
        <v>84200</v>
      </c>
      <c r="D69" s="806">
        <v>8400</v>
      </c>
      <c r="E69" s="806">
        <v>16800</v>
      </c>
      <c r="F69" s="806">
        <v>25300</v>
      </c>
      <c r="G69" s="806">
        <v>25300</v>
      </c>
      <c r="H69" s="806">
        <v>25300</v>
      </c>
      <c r="I69" s="821">
        <v>25300</v>
      </c>
      <c r="J69" s="806">
        <v>25300</v>
      </c>
      <c r="K69" s="806">
        <v>25300</v>
      </c>
      <c r="L69" s="820">
        <v>25300</v>
      </c>
      <c r="M69" s="843">
        <v>8400</v>
      </c>
      <c r="N69" s="815">
        <v>16800</v>
      </c>
      <c r="O69" s="815">
        <v>29400</v>
      </c>
      <c r="P69" s="815">
        <v>42100</v>
      </c>
      <c r="Q69" s="815">
        <v>58900</v>
      </c>
      <c r="R69" s="811">
        <v>80000</v>
      </c>
      <c r="S69" s="852"/>
    </row>
    <row r="70" spans="1:19" ht="13.5" thickBot="1">
      <c r="A70" s="788"/>
      <c r="B70" s="764">
        <v>1.5</v>
      </c>
      <c r="C70" s="798">
        <v>86300</v>
      </c>
      <c r="D70" s="806">
        <v>8600</v>
      </c>
      <c r="E70" s="806">
        <v>17200</v>
      </c>
      <c r="F70" s="806">
        <v>25900</v>
      </c>
      <c r="G70" s="806">
        <v>25900</v>
      </c>
      <c r="H70" s="806">
        <v>25900</v>
      </c>
      <c r="I70" s="821">
        <v>25900</v>
      </c>
      <c r="J70" s="806">
        <v>25900</v>
      </c>
      <c r="K70" s="806">
        <v>25900</v>
      </c>
      <c r="L70" s="820">
        <v>25900</v>
      </c>
      <c r="M70" s="843">
        <v>8600</v>
      </c>
      <c r="N70" s="815">
        <v>17200</v>
      </c>
      <c r="O70" s="815">
        <v>30100</v>
      </c>
      <c r="P70" s="815">
        <v>43100</v>
      </c>
      <c r="Q70" s="815">
        <v>60300</v>
      </c>
      <c r="R70" s="811">
        <v>81900</v>
      </c>
      <c r="S70" s="858"/>
    </row>
    <row r="71" spans="1:19" ht="13.5" thickBot="1">
      <c r="A71" s="788"/>
      <c r="B71" s="737">
        <v>2</v>
      </c>
      <c r="C71" s="798">
        <v>88300</v>
      </c>
      <c r="D71" s="806">
        <v>8800</v>
      </c>
      <c r="E71" s="806">
        <v>17700</v>
      </c>
      <c r="F71" s="806">
        <v>26500</v>
      </c>
      <c r="G71" s="806">
        <v>26500</v>
      </c>
      <c r="H71" s="806">
        <v>26500</v>
      </c>
      <c r="I71" s="821">
        <v>26500</v>
      </c>
      <c r="J71" s="806">
        <v>26500</v>
      </c>
      <c r="K71" s="806">
        <v>26500</v>
      </c>
      <c r="L71" s="820">
        <v>26500</v>
      </c>
      <c r="M71" s="843">
        <v>8800</v>
      </c>
      <c r="N71" s="815">
        <v>17700</v>
      </c>
      <c r="O71" s="815">
        <v>30900</v>
      </c>
      <c r="P71" s="815">
        <v>44100</v>
      </c>
      <c r="Q71" s="815">
        <v>61800</v>
      </c>
      <c r="R71" s="811">
        <v>83900</v>
      </c>
      <c r="S71" s="853"/>
    </row>
    <row r="72" spans="1:19" ht="13.5" thickBot="1">
      <c r="A72" s="788"/>
      <c r="B72" s="737">
        <v>2.5</v>
      </c>
      <c r="C72" s="798">
        <v>90800</v>
      </c>
      <c r="D72" s="806">
        <v>9000</v>
      </c>
      <c r="E72" s="806">
        <v>18100</v>
      </c>
      <c r="F72" s="806">
        <v>27200</v>
      </c>
      <c r="G72" s="806">
        <v>27200</v>
      </c>
      <c r="H72" s="806">
        <v>27200</v>
      </c>
      <c r="I72" s="821">
        <v>27200</v>
      </c>
      <c r="J72" s="806">
        <v>27200</v>
      </c>
      <c r="K72" s="806">
        <v>27200</v>
      </c>
      <c r="L72" s="820">
        <v>27200</v>
      </c>
      <c r="M72" s="843">
        <v>9100</v>
      </c>
      <c r="N72" s="815">
        <v>18200</v>
      </c>
      <c r="O72" s="815">
        <v>31800</v>
      </c>
      <c r="P72" s="815">
        <v>45400</v>
      </c>
      <c r="Q72" s="815">
        <v>63500</v>
      </c>
      <c r="R72" s="811">
        <v>86200</v>
      </c>
      <c r="S72" s="853"/>
    </row>
    <row r="73" spans="1:19" ht="13.5" thickBot="1">
      <c r="A73" s="788"/>
      <c r="B73" s="737">
        <v>3</v>
      </c>
      <c r="C73" s="798">
        <v>93200</v>
      </c>
      <c r="D73" s="806">
        <v>9300</v>
      </c>
      <c r="E73" s="806">
        <v>18600</v>
      </c>
      <c r="F73" s="806">
        <v>28000</v>
      </c>
      <c r="G73" s="806">
        <v>28000</v>
      </c>
      <c r="H73" s="806">
        <v>28000</v>
      </c>
      <c r="I73" s="821">
        <v>28000</v>
      </c>
      <c r="J73" s="806">
        <v>28000</v>
      </c>
      <c r="K73" s="806">
        <v>28000</v>
      </c>
      <c r="L73" s="820">
        <v>28000</v>
      </c>
      <c r="M73" s="843">
        <v>9300</v>
      </c>
      <c r="N73" s="815">
        <v>18600</v>
      </c>
      <c r="O73" s="815">
        <v>32600</v>
      </c>
      <c r="P73" s="815">
        <v>46600</v>
      </c>
      <c r="Q73" s="815">
        <v>65200</v>
      </c>
      <c r="R73" s="811">
        <v>88500</v>
      </c>
      <c r="S73" s="853"/>
    </row>
    <row r="74" spans="1:19" ht="13.5" thickBot="1">
      <c r="A74" s="788"/>
      <c r="B74" s="737">
        <v>3.5</v>
      </c>
      <c r="C74" s="798">
        <v>96100</v>
      </c>
      <c r="D74" s="806">
        <v>9600</v>
      </c>
      <c r="E74" s="806">
        <v>19200</v>
      </c>
      <c r="F74" s="806">
        <v>28900</v>
      </c>
      <c r="G74" s="806">
        <v>28900</v>
      </c>
      <c r="H74" s="806">
        <v>28900</v>
      </c>
      <c r="I74" s="821">
        <v>28900</v>
      </c>
      <c r="J74" s="806">
        <v>28900</v>
      </c>
      <c r="K74" s="806">
        <v>28900</v>
      </c>
      <c r="L74" s="820">
        <v>28900</v>
      </c>
      <c r="M74" s="843">
        <v>9600</v>
      </c>
      <c r="N74" s="815">
        <v>19200</v>
      </c>
      <c r="O74" s="815">
        <v>33600</v>
      </c>
      <c r="P74" s="815">
        <v>48000</v>
      </c>
      <c r="Q74" s="815">
        <v>67200</v>
      </c>
      <c r="R74" s="811">
        <v>91300</v>
      </c>
      <c r="S74" s="853"/>
    </row>
    <row r="75" spans="1:19" ht="13.5" thickBot="1">
      <c r="A75" s="788"/>
      <c r="B75" s="737">
        <v>4</v>
      </c>
      <c r="C75" s="798">
        <v>99000</v>
      </c>
      <c r="D75" s="806">
        <v>9900</v>
      </c>
      <c r="E75" s="806">
        <v>19800</v>
      </c>
      <c r="F75" s="806">
        <v>29700</v>
      </c>
      <c r="G75" s="806">
        <v>29700</v>
      </c>
      <c r="H75" s="806">
        <v>29700</v>
      </c>
      <c r="I75" s="821">
        <v>29700</v>
      </c>
      <c r="J75" s="806">
        <v>29700</v>
      </c>
      <c r="K75" s="806">
        <v>29700</v>
      </c>
      <c r="L75" s="820">
        <v>29700</v>
      </c>
      <c r="M75" s="843">
        <v>9900</v>
      </c>
      <c r="N75" s="815">
        <v>19800</v>
      </c>
      <c r="O75" s="815">
        <v>34700</v>
      </c>
      <c r="P75" s="815">
        <v>49500</v>
      </c>
      <c r="Q75" s="815">
        <v>69300</v>
      </c>
      <c r="R75" s="811">
        <v>94100</v>
      </c>
      <c r="S75" s="853"/>
    </row>
    <row r="76" spans="1:19" ht="13.5" thickBot="1">
      <c r="A76" s="788"/>
      <c r="B76" s="754">
        <v>4.5</v>
      </c>
      <c r="C76" s="798">
        <v>102900</v>
      </c>
      <c r="D76" s="806">
        <v>10300</v>
      </c>
      <c r="E76" s="806">
        <v>20500</v>
      </c>
      <c r="F76" s="806">
        <v>30800</v>
      </c>
      <c r="G76" s="806">
        <v>30800</v>
      </c>
      <c r="H76" s="806">
        <v>30800</v>
      </c>
      <c r="I76" s="821">
        <v>30800</v>
      </c>
      <c r="J76" s="806">
        <v>30800</v>
      </c>
      <c r="K76" s="806">
        <v>30800</v>
      </c>
      <c r="L76" s="820">
        <v>30800</v>
      </c>
      <c r="M76" s="843">
        <v>10300</v>
      </c>
      <c r="N76" s="815">
        <v>20600</v>
      </c>
      <c r="O76" s="815">
        <v>36100</v>
      </c>
      <c r="P76" s="815">
        <v>51500</v>
      </c>
      <c r="Q76" s="815">
        <v>72000</v>
      </c>
      <c r="R76" s="811">
        <v>97800</v>
      </c>
      <c r="S76" s="857"/>
    </row>
    <row r="77" spans="1:19" ht="13.5" thickBot="1">
      <c r="A77" s="788"/>
      <c r="B77" s="754">
        <v>5</v>
      </c>
      <c r="C77" s="798">
        <v>106700</v>
      </c>
      <c r="D77" s="806">
        <v>10700</v>
      </c>
      <c r="E77" s="806">
        <v>21300</v>
      </c>
      <c r="F77" s="806">
        <v>32000</v>
      </c>
      <c r="G77" s="806">
        <v>32000</v>
      </c>
      <c r="H77" s="806">
        <v>32000</v>
      </c>
      <c r="I77" s="821">
        <v>32000</v>
      </c>
      <c r="J77" s="806">
        <v>32000</v>
      </c>
      <c r="K77" s="806">
        <v>32000</v>
      </c>
      <c r="L77" s="820">
        <v>32000</v>
      </c>
      <c r="M77" s="843">
        <v>10700</v>
      </c>
      <c r="N77" s="815">
        <v>21400</v>
      </c>
      <c r="O77" s="815">
        <v>37400</v>
      </c>
      <c r="P77" s="815">
        <v>53400</v>
      </c>
      <c r="Q77" s="815">
        <v>74700</v>
      </c>
      <c r="R77" s="811">
        <v>101400</v>
      </c>
      <c r="S77" s="857"/>
    </row>
    <row r="78" spans="1:19" ht="13.5" thickBot="1">
      <c r="A78" s="789"/>
      <c r="B78" s="738">
        <v>5.5</v>
      </c>
      <c r="C78" s="798">
        <v>110600</v>
      </c>
      <c r="D78" s="806">
        <v>11100</v>
      </c>
      <c r="E78" s="806">
        <v>22100</v>
      </c>
      <c r="F78" s="806">
        <v>33200</v>
      </c>
      <c r="G78" s="806">
        <v>33200</v>
      </c>
      <c r="H78" s="806">
        <v>33200</v>
      </c>
      <c r="I78" s="821">
        <v>33200</v>
      </c>
      <c r="J78" s="806">
        <v>33200</v>
      </c>
      <c r="K78" s="806">
        <v>33200</v>
      </c>
      <c r="L78" s="820">
        <v>33200</v>
      </c>
      <c r="M78" s="843">
        <v>11100</v>
      </c>
      <c r="N78" s="815">
        <v>22200</v>
      </c>
      <c r="O78" s="815">
        <v>38700</v>
      </c>
      <c r="P78" s="815">
        <v>55300</v>
      </c>
      <c r="Q78" s="815">
        <v>77400</v>
      </c>
      <c r="R78" s="811">
        <v>105100</v>
      </c>
      <c r="S78" s="851"/>
    </row>
    <row r="79" spans="3:18" ht="12.75">
      <c r="C79" s="818"/>
      <c r="D79" s="818">
        <v>0</v>
      </c>
      <c r="E79" s="818">
        <v>0</v>
      </c>
      <c r="F79" s="818">
        <v>0</v>
      </c>
      <c r="G79" s="818">
        <v>0</v>
      </c>
      <c r="H79" s="818">
        <v>0</v>
      </c>
      <c r="I79" s="818">
        <v>0</v>
      </c>
      <c r="J79" s="818">
        <v>0</v>
      </c>
      <c r="K79" s="818">
        <v>0</v>
      </c>
      <c r="L79" s="818">
        <v>0</v>
      </c>
      <c r="M79" s="826">
        <v>0</v>
      </c>
      <c r="N79" s="826">
        <v>0</v>
      </c>
      <c r="O79" s="826">
        <v>0</v>
      </c>
      <c r="P79" s="826">
        <v>0</v>
      </c>
      <c r="Q79" s="826">
        <v>0</v>
      </c>
      <c r="R79" s="826">
        <v>0</v>
      </c>
    </row>
    <row r="80" spans="1:2" ht="12.75">
      <c r="A80" t="s">
        <v>11</v>
      </c>
      <c r="B80">
        <v>0</v>
      </c>
    </row>
    <row r="81" spans="1:2" ht="12.75">
      <c r="A81" t="s">
        <v>9</v>
      </c>
      <c r="B81">
        <v>0</v>
      </c>
    </row>
    <row r="84" spans="1:18" ht="13.5" thickBot="1">
      <c r="A84" s="796" t="s">
        <v>16</v>
      </c>
      <c r="C84" s="818" t="s">
        <v>1</v>
      </c>
      <c r="D84" s="819">
        <v>1</v>
      </c>
      <c r="E84" s="819">
        <v>2</v>
      </c>
      <c r="F84" s="819">
        <v>3</v>
      </c>
      <c r="G84" s="819">
        <v>4</v>
      </c>
      <c r="H84" s="819">
        <v>5</v>
      </c>
      <c r="I84" s="819">
        <v>6</v>
      </c>
      <c r="J84" s="819">
        <v>7</v>
      </c>
      <c r="K84" s="819">
        <v>8</v>
      </c>
      <c r="L84" s="801">
        <v>9</v>
      </c>
      <c r="M84" s="814">
        <v>4</v>
      </c>
      <c r="N84" s="814">
        <v>5</v>
      </c>
      <c r="O84" s="814">
        <v>6</v>
      </c>
      <c r="P84" s="814">
        <v>7</v>
      </c>
      <c r="Q84" s="814">
        <v>8</v>
      </c>
      <c r="R84" s="809">
        <v>9</v>
      </c>
    </row>
    <row r="85" spans="1:19" ht="13.5" thickBot="1">
      <c r="A85" s="734" t="s">
        <v>15</v>
      </c>
      <c r="B85" s="736">
        <v>1</v>
      </c>
      <c r="C85" s="798">
        <v>99100</v>
      </c>
      <c r="D85" s="806">
        <v>9900</v>
      </c>
      <c r="E85" s="806">
        <v>19800</v>
      </c>
      <c r="F85" s="806">
        <v>29700</v>
      </c>
      <c r="G85" s="806">
        <v>29700</v>
      </c>
      <c r="H85" s="806">
        <v>29700</v>
      </c>
      <c r="I85" s="821">
        <v>29700</v>
      </c>
      <c r="J85" s="806">
        <v>29700</v>
      </c>
      <c r="K85" s="806">
        <v>29700</v>
      </c>
      <c r="L85" s="820">
        <v>29700</v>
      </c>
      <c r="M85" s="843">
        <v>9900</v>
      </c>
      <c r="N85" s="815">
        <v>19900</v>
      </c>
      <c r="O85" s="815">
        <v>34700</v>
      </c>
      <c r="P85" s="815">
        <v>49600</v>
      </c>
      <c r="Q85" s="815">
        <v>69400</v>
      </c>
      <c r="R85" s="811">
        <v>94200</v>
      </c>
      <c r="S85" s="852"/>
    </row>
    <row r="86" spans="1:19" ht="13.5" thickBot="1">
      <c r="A86" s="788"/>
      <c r="B86" s="764">
        <v>1.5</v>
      </c>
      <c r="C86" s="798">
        <v>103000</v>
      </c>
      <c r="D86" s="806">
        <v>10300</v>
      </c>
      <c r="E86" s="806">
        <v>20600</v>
      </c>
      <c r="F86" s="806">
        <v>30800</v>
      </c>
      <c r="G86" s="806">
        <v>30800</v>
      </c>
      <c r="H86" s="806">
        <v>30800</v>
      </c>
      <c r="I86" s="821">
        <v>30800</v>
      </c>
      <c r="J86" s="806">
        <v>30800</v>
      </c>
      <c r="K86" s="806">
        <v>30800</v>
      </c>
      <c r="L86" s="820">
        <v>30800</v>
      </c>
      <c r="M86" s="843">
        <v>10300</v>
      </c>
      <c r="N86" s="815">
        <v>20700</v>
      </c>
      <c r="O86" s="815">
        <v>36100</v>
      </c>
      <c r="P86" s="815">
        <v>51500</v>
      </c>
      <c r="Q86" s="815">
        <v>72100</v>
      </c>
      <c r="R86" s="811">
        <v>97900</v>
      </c>
      <c r="S86" s="858"/>
    </row>
    <row r="87" spans="1:19" ht="13.5" thickBot="1">
      <c r="A87" s="788"/>
      <c r="B87" s="737">
        <v>2</v>
      </c>
      <c r="C87" s="798">
        <v>106800</v>
      </c>
      <c r="D87" s="806">
        <v>10700</v>
      </c>
      <c r="E87" s="806">
        <v>21400</v>
      </c>
      <c r="F87" s="806">
        <v>32000</v>
      </c>
      <c r="G87" s="806">
        <v>32000</v>
      </c>
      <c r="H87" s="806">
        <v>32000</v>
      </c>
      <c r="I87" s="821">
        <v>32000</v>
      </c>
      <c r="J87" s="806">
        <v>32000</v>
      </c>
      <c r="K87" s="806">
        <v>32000</v>
      </c>
      <c r="L87" s="820">
        <v>32000</v>
      </c>
      <c r="M87" s="843">
        <v>10700</v>
      </c>
      <c r="N87" s="815">
        <v>21400</v>
      </c>
      <c r="O87" s="815">
        <v>37400</v>
      </c>
      <c r="P87" s="815">
        <v>53400</v>
      </c>
      <c r="Q87" s="815">
        <v>74800</v>
      </c>
      <c r="R87" s="811">
        <v>101500</v>
      </c>
      <c r="S87" s="853"/>
    </row>
    <row r="88" spans="1:19" ht="13.5" thickBot="1">
      <c r="A88" s="788"/>
      <c r="B88" s="737">
        <v>2.5</v>
      </c>
      <c r="C88" s="798">
        <v>110700</v>
      </c>
      <c r="D88" s="806">
        <v>11100</v>
      </c>
      <c r="E88" s="806">
        <v>22100</v>
      </c>
      <c r="F88" s="806">
        <v>33200</v>
      </c>
      <c r="G88" s="806">
        <v>33200</v>
      </c>
      <c r="H88" s="806">
        <v>33200</v>
      </c>
      <c r="I88" s="821">
        <v>33200</v>
      </c>
      <c r="J88" s="806">
        <v>33200</v>
      </c>
      <c r="K88" s="806">
        <v>33200</v>
      </c>
      <c r="L88" s="820">
        <v>33200</v>
      </c>
      <c r="M88" s="843">
        <v>11000</v>
      </c>
      <c r="N88" s="815">
        <v>22100</v>
      </c>
      <c r="O88" s="815">
        <v>38700</v>
      </c>
      <c r="P88" s="815">
        <v>55300</v>
      </c>
      <c r="Q88" s="815">
        <v>77400</v>
      </c>
      <c r="R88" s="811">
        <v>105100</v>
      </c>
      <c r="S88" s="853"/>
    </row>
    <row r="89" spans="1:19" ht="13.5" thickBot="1">
      <c r="A89" s="788"/>
      <c r="B89" s="737">
        <v>3</v>
      </c>
      <c r="C89" s="798">
        <v>114500</v>
      </c>
      <c r="D89" s="806">
        <v>11500</v>
      </c>
      <c r="E89" s="806">
        <v>22900</v>
      </c>
      <c r="F89" s="806">
        <v>34400</v>
      </c>
      <c r="G89" s="806">
        <v>34400</v>
      </c>
      <c r="H89" s="806">
        <v>34400</v>
      </c>
      <c r="I89" s="821">
        <v>34400</v>
      </c>
      <c r="J89" s="806">
        <v>34400</v>
      </c>
      <c r="K89" s="806">
        <v>34400</v>
      </c>
      <c r="L89" s="820">
        <v>34400</v>
      </c>
      <c r="M89" s="843">
        <v>11400</v>
      </c>
      <c r="N89" s="815">
        <v>22900</v>
      </c>
      <c r="O89" s="815">
        <v>40000</v>
      </c>
      <c r="P89" s="815">
        <v>57200</v>
      </c>
      <c r="Q89" s="815">
        <v>80100</v>
      </c>
      <c r="R89" s="811">
        <v>108700</v>
      </c>
      <c r="S89" s="853"/>
    </row>
    <row r="90" spans="1:19" ht="13.5" thickBot="1">
      <c r="A90" s="788"/>
      <c r="B90" s="737">
        <v>3.5</v>
      </c>
      <c r="C90" s="798">
        <v>118700</v>
      </c>
      <c r="D90" s="806">
        <v>11900</v>
      </c>
      <c r="E90" s="806">
        <v>23700</v>
      </c>
      <c r="F90" s="806">
        <v>35600</v>
      </c>
      <c r="G90" s="806">
        <v>35600</v>
      </c>
      <c r="H90" s="806">
        <v>35600</v>
      </c>
      <c r="I90" s="821">
        <v>35600</v>
      </c>
      <c r="J90" s="806">
        <v>35600</v>
      </c>
      <c r="K90" s="806">
        <v>35600</v>
      </c>
      <c r="L90" s="820">
        <v>35600</v>
      </c>
      <c r="M90" s="843">
        <v>11800</v>
      </c>
      <c r="N90" s="815">
        <v>23700</v>
      </c>
      <c r="O90" s="815">
        <v>41500</v>
      </c>
      <c r="P90" s="815">
        <v>59300</v>
      </c>
      <c r="Q90" s="815">
        <v>83000</v>
      </c>
      <c r="R90" s="811">
        <v>112700</v>
      </c>
      <c r="S90" s="853"/>
    </row>
    <row r="91" spans="1:19" ht="13.5" thickBot="1">
      <c r="A91" s="788"/>
      <c r="B91" s="737">
        <v>4</v>
      </c>
      <c r="C91" s="798">
        <v>122800</v>
      </c>
      <c r="D91" s="806">
        <v>12300</v>
      </c>
      <c r="E91" s="806">
        <v>24600</v>
      </c>
      <c r="F91" s="806">
        <v>36800</v>
      </c>
      <c r="G91" s="806">
        <v>36800</v>
      </c>
      <c r="H91" s="806">
        <v>36800</v>
      </c>
      <c r="I91" s="821">
        <v>36800</v>
      </c>
      <c r="J91" s="806">
        <v>36800</v>
      </c>
      <c r="K91" s="806">
        <v>36800</v>
      </c>
      <c r="L91" s="820">
        <v>36800</v>
      </c>
      <c r="M91" s="843">
        <v>12300</v>
      </c>
      <c r="N91" s="815">
        <v>24600</v>
      </c>
      <c r="O91" s="815">
        <v>43000</v>
      </c>
      <c r="P91" s="815">
        <v>61400</v>
      </c>
      <c r="Q91" s="815">
        <v>86000</v>
      </c>
      <c r="R91" s="811">
        <v>116700</v>
      </c>
      <c r="S91" s="853"/>
    </row>
    <row r="92" spans="1:19" ht="13.5" thickBot="1">
      <c r="A92" s="788"/>
      <c r="B92" s="737">
        <v>4.5</v>
      </c>
      <c r="C92" s="798">
        <v>127200</v>
      </c>
      <c r="D92" s="806">
        <v>12800</v>
      </c>
      <c r="E92" s="806">
        <v>25500</v>
      </c>
      <c r="F92" s="806">
        <v>38200</v>
      </c>
      <c r="G92" s="806">
        <v>38200</v>
      </c>
      <c r="H92" s="806">
        <v>38200</v>
      </c>
      <c r="I92" s="821">
        <v>38200</v>
      </c>
      <c r="J92" s="806">
        <v>38200</v>
      </c>
      <c r="K92" s="806">
        <v>38200</v>
      </c>
      <c r="L92" s="820">
        <v>38200</v>
      </c>
      <c r="M92" s="843">
        <v>12700</v>
      </c>
      <c r="N92" s="815">
        <v>25400</v>
      </c>
      <c r="O92" s="815">
        <v>44500</v>
      </c>
      <c r="P92" s="815">
        <v>63600</v>
      </c>
      <c r="Q92" s="815">
        <v>89000</v>
      </c>
      <c r="R92" s="811">
        <v>120800</v>
      </c>
      <c r="S92" s="853"/>
    </row>
    <row r="93" spans="1:19" ht="13.5" thickBot="1">
      <c r="A93" s="788"/>
      <c r="B93" s="737">
        <v>5</v>
      </c>
      <c r="C93" s="798">
        <v>131600</v>
      </c>
      <c r="D93" s="806">
        <v>13200</v>
      </c>
      <c r="E93" s="806">
        <v>26300</v>
      </c>
      <c r="F93" s="806">
        <v>39500</v>
      </c>
      <c r="G93" s="806">
        <v>39500</v>
      </c>
      <c r="H93" s="806">
        <v>39500</v>
      </c>
      <c r="I93" s="821">
        <v>39500</v>
      </c>
      <c r="J93" s="806">
        <v>39500</v>
      </c>
      <c r="K93" s="806">
        <v>39500</v>
      </c>
      <c r="L93" s="820">
        <v>39500</v>
      </c>
      <c r="M93" s="843">
        <v>13100</v>
      </c>
      <c r="N93" s="815">
        <v>26300</v>
      </c>
      <c r="O93" s="815">
        <v>46000</v>
      </c>
      <c r="P93" s="815">
        <v>65800</v>
      </c>
      <c r="Q93" s="815">
        <v>92100</v>
      </c>
      <c r="R93" s="811">
        <v>125000</v>
      </c>
      <c r="S93" s="853"/>
    </row>
    <row r="94" spans="1:19" ht="13.5" thickBot="1">
      <c r="A94" s="788"/>
      <c r="B94" s="737">
        <v>5.5</v>
      </c>
      <c r="C94" s="798">
        <v>137100</v>
      </c>
      <c r="D94" s="806">
        <v>13700</v>
      </c>
      <c r="E94" s="806">
        <v>27400</v>
      </c>
      <c r="F94" s="806">
        <v>41100</v>
      </c>
      <c r="G94" s="806">
        <v>41100</v>
      </c>
      <c r="H94" s="806">
        <v>41100</v>
      </c>
      <c r="I94" s="821">
        <v>41100</v>
      </c>
      <c r="J94" s="806">
        <v>41100</v>
      </c>
      <c r="K94" s="806">
        <v>41100</v>
      </c>
      <c r="L94" s="820">
        <v>41100</v>
      </c>
      <c r="M94" s="843">
        <v>13700</v>
      </c>
      <c r="N94" s="815">
        <v>27400</v>
      </c>
      <c r="O94" s="815">
        <v>47900</v>
      </c>
      <c r="P94" s="815">
        <v>68500</v>
      </c>
      <c r="Q94" s="815">
        <v>95900</v>
      </c>
      <c r="R94" s="811">
        <v>130200</v>
      </c>
      <c r="S94" s="853"/>
    </row>
    <row r="95" spans="1:19" ht="13.5" thickBot="1">
      <c r="A95" s="788"/>
      <c r="B95" s="737">
        <v>6</v>
      </c>
      <c r="C95" s="798">
        <v>142500</v>
      </c>
      <c r="D95" s="806">
        <v>14300</v>
      </c>
      <c r="E95" s="806">
        <v>28500</v>
      </c>
      <c r="F95" s="806">
        <v>42800</v>
      </c>
      <c r="G95" s="806">
        <v>42800</v>
      </c>
      <c r="H95" s="806">
        <v>42800</v>
      </c>
      <c r="I95" s="821">
        <v>42800</v>
      </c>
      <c r="J95" s="806">
        <v>42800</v>
      </c>
      <c r="K95" s="806">
        <v>42800</v>
      </c>
      <c r="L95" s="820">
        <v>42800</v>
      </c>
      <c r="M95" s="843">
        <v>14200</v>
      </c>
      <c r="N95" s="815">
        <v>28500</v>
      </c>
      <c r="O95" s="815">
        <v>49800</v>
      </c>
      <c r="P95" s="815">
        <v>71200</v>
      </c>
      <c r="Q95" s="815">
        <v>99700</v>
      </c>
      <c r="R95" s="811">
        <v>135300</v>
      </c>
      <c r="S95" s="853"/>
    </row>
    <row r="96" spans="1:19" ht="13.5" thickBot="1">
      <c r="A96" s="788"/>
      <c r="B96" s="737">
        <v>6.5</v>
      </c>
      <c r="C96" s="798">
        <v>148400</v>
      </c>
      <c r="D96" s="806">
        <v>14800</v>
      </c>
      <c r="E96" s="806">
        <v>29600</v>
      </c>
      <c r="F96" s="806">
        <v>44500</v>
      </c>
      <c r="G96" s="806">
        <v>44500</v>
      </c>
      <c r="H96" s="806">
        <v>44500</v>
      </c>
      <c r="I96" s="821">
        <v>44500</v>
      </c>
      <c r="J96" s="806">
        <v>44500</v>
      </c>
      <c r="K96" s="806">
        <v>44500</v>
      </c>
      <c r="L96" s="820">
        <v>44500</v>
      </c>
      <c r="M96" s="843">
        <v>14800</v>
      </c>
      <c r="N96" s="815">
        <v>29700</v>
      </c>
      <c r="O96" s="815">
        <v>51900</v>
      </c>
      <c r="P96" s="815">
        <v>74200</v>
      </c>
      <c r="Q96" s="815">
        <v>103800</v>
      </c>
      <c r="R96" s="811">
        <v>140900</v>
      </c>
      <c r="S96" s="853"/>
    </row>
    <row r="97" spans="1:19" ht="13.5" thickBot="1">
      <c r="A97" s="788"/>
      <c r="B97" s="737">
        <v>7</v>
      </c>
      <c r="C97" s="798">
        <v>154200</v>
      </c>
      <c r="D97" s="806">
        <v>15400</v>
      </c>
      <c r="E97" s="806">
        <v>30800</v>
      </c>
      <c r="F97" s="806">
        <v>46300</v>
      </c>
      <c r="G97" s="806">
        <v>46300</v>
      </c>
      <c r="H97" s="806">
        <v>46300</v>
      </c>
      <c r="I97" s="821">
        <v>46300</v>
      </c>
      <c r="J97" s="806">
        <v>46300</v>
      </c>
      <c r="K97" s="806">
        <v>46300</v>
      </c>
      <c r="L97" s="820">
        <v>46300</v>
      </c>
      <c r="M97" s="843">
        <v>15400</v>
      </c>
      <c r="N97" s="815">
        <v>30800</v>
      </c>
      <c r="O97" s="815">
        <v>53900</v>
      </c>
      <c r="P97" s="815">
        <v>77100</v>
      </c>
      <c r="Q97" s="815">
        <v>107900</v>
      </c>
      <c r="R97" s="811">
        <v>146500</v>
      </c>
      <c r="S97" s="853"/>
    </row>
    <row r="98" spans="1:19" ht="13.5" thickBot="1">
      <c r="A98" s="788"/>
      <c r="B98" s="737">
        <v>7.5</v>
      </c>
      <c r="C98" s="798">
        <v>160600</v>
      </c>
      <c r="D98" s="806">
        <v>16100</v>
      </c>
      <c r="E98" s="806">
        <v>32100</v>
      </c>
      <c r="F98" s="806">
        <v>48200</v>
      </c>
      <c r="G98" s="806">
        <v>48200</v>
      </c>
      <c r="H98" s="806">
        <v>48200</v>
      </c>
      <c r="I98" s="821">
        <v>48200</v>
      </c>
      <c r="J98" s="806">
        <v>48200</v>
      </c>
      <c r="K98" s="806">
        <v>48200</v>
      </c>
      <c r="L98" s="820">
        <v>48200</v>
      </c>
      <c r="M98" s="843">
        <v>16100</v>
      </c>
      <c r="N98" s="815">
        <v>32100</v>
      </c>
      <c r="O98" s="815">
        <v>56200</v>
      </c>
      <c r="P98" s="815">
        <v>80300</v>
      </c>
      <c r="Q98" s="815">
        <v>112400</v>
      </c>
      <c r="R98" s="811">
        <v>152600</v>
      </c>
      <c r="S98" s="857"/>
    </row>
    <row r="99" spans="1:19" ht="13.5" thickBot="1">
      <c r="A99" s="831"/>
      <c r="B99" s="737">
        <v>8</v>
      </c>
      <c r="C99" s="798">
        <v>167000</v>
      </c>
      <c r="D99" s="806">
        <v>16700</v>
      </c>
      <c r="E99" s="806">
        <v>33400</v>
      </c>
      <c r="F99" s="806">
        <v>50100</v>
      </c>
      <c r="G99" s="806">
        <v>50100</v>
      </c>
      <c r="H99" s="806">
        <v>50100</v>
      </c>
      <c r="I99" s="821">
        <v>50100</v>
      </c>
      <c r="J99" s="806">
        <v>50100</v>
      </c>
      <c r="K99" s="806">
        <v>50100</v>
      </c>
      <c r="L99" s="820">
        <v>50100</v>
      </c>
      <c r="M99" s="843">
        <v>16700</v>
      </c>
      <c r="N99" s="815">
        <v>33400</v>
      </c>
      <c r="O99" s="815">
        <v>58500</v>
      </c>
      <c r="P99" s="815">
        <v>83500</v>
      </c>
      <c r="Q99" s="815">
        <v>116900</v>
      </c>
      <c r="R99" s="811">
        <v>158700</v>
      </c>
      <c r="S99" s="851"/>
    </row>
    <row r="100" spans="1:19" ht="13.5" thickBot="1">
      <c r="A100" s="859"/>
      <c r="B100" s="831">
        <v>8.5</v>
      </c>
      <c r="C100" s="798">
        <v>174000</v>
      </c>
      <c r="D100" s="806">
        <v>17400</v>
      </c>
      <c r="E100" s="806">
        <v>34800</v>
      </c>
      <c r="F100" s="806">
        <v>52200</v>
      </c>
      <c r="G100" s="806">
        <v>52200</v>
      </c>
      <c r="H100" s="806">
        <v>52200</v>
      </c>
      <c r="I100" s="821">
        <v>52200</v>
      </c>
      <c r="J100" s="806">
        <v>52200</v>
      </c>
      <c r="K100" s="806">
        <v>52200</v>
      </c>
      <c r="L100" s="820">
        <v>52200</v>
      </c>
      <c r="M100" s="843">
        <v>17400</v>
      </c>
      <c r="N100" s="815">
        <v>34800</v>
      </c>
      <c r="O100" s="815">
        <v>60900</v>
      </c>
      <c r="P100" s="815">
        <v>86900</v>
      </c>
      <c r="Q100" s="815">
        <v>121700</v>
      </c>
      <c r="R100" s="811">
        <v>165200</v>
      </c>
      <c r="S100" s="1"/>
    </row>
    <row r="101" spans="1:19" ht="13.5" thickBot="1">
      <c r="A101" s="859"/>
      <c r="B101" s="831">
        <v>9</v>
      </c>
      <c r="C101" s="798">
        <v>180900</v>
      </c>
      <c r="D101" s="806">
        <v>18100</v>
      </c>
      <c r="E101" s="806">
        <v>36200</v>
      </c>
      <c r="F101" s="806">
        <v>54300</v>
      </c>
      <c r="G101" s="806">
        <v>54300</v>
      </c>
      <c r="H101" s="806">
        <v>54300</v>
      </c>
      <c r="I101" s="821">
        <v>54300</v>
      </c>
      <c r="J101" s="806">
        <v>54300</v>
      </c>
      <c r="K101" s="806">
        <v>54300</v>
      </c>
      <c r="L101" s="820">
        <v>54300</v>
      </c>
      <c r="M101" s="843">
        <v>18100</v>
      </c>
      <c r="N101" s="815">
        <v>36200</v>
      </c>
      <c r="O101" s="815">
        <v>63300</v>
      </c>
      <c r="P101" s="815">
        <v>90400</v>
      </c>
      <c r="Q101" s="815">
        <v>126600</v>
      </c>
      <c r="R101" s="811">
        <v>171800</v>
      </c>
      <c r="S101" s="1"/>
    </row>
    <row r="102" spans="1:19" ht="13.5" thickBot="1">
      <c r="A102" s="855"/>
      <c r="B102" s="832">
        <v>9.5</v>
      </c>
      <c r="C102" s="798">
        <v>188400</v>
      </c>
      <c r="D102" s="806">
        <v>18900</v>
      </c>
      <c r="E102" s="806">
        <v>37700</v>
      </c>
      <c r="F102" s="806">
        <v>56600</v>
      </c>
      <c r="G102" s="806">
        <v>56600</v>
      </c>
      <c r="H102" s="806">
        <v>56600</v>
      </c>
      <c r="I102" s="821">
        <v>56600</v>
      </c>
      <c r="J102" s="806">
        <v>56600</v>
      </c>
      <c r="K102" s="806">
        <v>56600</v>
      </c>
      <c r="L102" s="820">
        <v>56600</v>
      </c>
      <c r="M102" s="843">
        <v>18800</v>
      </c>
      <c r="N102" s="815">
        <v>37700</v>
      </c>
      <c r="O102" s="815">
        <v>65900</v>
      </c>
      <c r="P102" s="815">
        <v>94100</v>
      </c>
      <c r="Q102" s="815">
        <v>131800</v>
      </c>
      <c r="R102" s="811">
        <v>178900</v>
      </c>
      <c r="S102" s="1"/>
    </row>
    <row r="103" spans="4:18" ht="12.75">
      <c r="D103">
        <v>0</v>
      </c>
      <c r="E103">
        <v>0</v>
      </c>
      <c r="F103">
        <v>0</v>
      </c>
      <c r="G103">
        <v>0</v>
      </c>
      <c r="H103">
        <v>0</v>
      </c>
      <c r="I103">
        <v>0</v>
      </c>
      <c r="J103">
        <v>0</v>
      </c>
      <c r="K103">
        <v>0</v>
      </c>
      <c r="L103">
        <v>0</v>
      </c>
      <c r="M103">
        <v>0</v>
      </c>
      <c r="N103">
        <v>0</v>
      </c>
      <c r="O103">
        <v>0</v>
      </c>
      <c r="P103">
        <v>0</v>
      </c>
      <c r="Q103">
        <v>0</v>
      </c>
      <c r="R103">
        <v>0</v>
      </c>
    </row>
    <row r="104" spans="1:2" ht="12.75">
      <c r="A104" t="s">
        <v>11</v>
      </c>
      <c r="B104">
        <v>0</v>
      </c>
    </row>
    <row r="105" spans="1:2" ht="12.75">
      <c r="A105" t="s">
        <v>9</v>
      </c>
      <c r="B105">
        <v>0</v>
      </c>
    </row>
  </sheetData>
  <sheetProtection/>
  <mergeCells count="2">
    <mergeCell ref="D45:L45"/>
    <mergeCell ref="M45:S45"/>
  </mergeCells>
  <printOptions/>
  <pageMargins left="0.25" right="0.25" top="1" bottom="1" header="0.5" footer="0.5"/>
  <pageSetup horizontalDpi="300" verticalDpi="300" orientation="landscape" r:id="rId1"/>
</worksheet>
</file>

<file path=xl/worksheets/sheet12.xml><?xml version="1.0" encoding="utf-8"?>
<worksheet xmlns="http://schemas.openxmlformats.org/spreadsheetml/2006/main" xmlns:r="http://schemas.openxmlformats.org/officeDocument/2006/relationships">
  <dimension ref="A1:D2"/>
  <sheetViews>
    <sheetView zoomScalePageLayoutView="0" workbookViewId="0" topLeftCell="A1">
      <selection activeCell="I15" sqref="I15:L15"/>
    </sheetView>
  </sheetViews>
  <sheetFormatPr defaultColWidth="9.140625" defaultRowHeight="12.75"/>
  <sheetData>
    <row r="1" spans="1:4" ht="12.75">
      <c r="A1" s="885" t="s">
        <v>187</v>
      </c>
      <c r="B1" s="862"/>
      <c r="C1" s="862"/>
      <c r="D1" s="863"/>
    </row>
    <row r="2" spans="1:4" ht="12.75">
      <c r="A2" s="885" t="s">
        <v>190</v>
      </c>
      <c r="B2" s="886"/>
      <c r="C2" s="886"/>
      <c r="D2" s="887"/>
    </row>
  </sheetData>
  <sheetProtection/>
  <mergeCells count="2">
    <mergeCell ref="A1:D1"/>
    <mergeCell ref="A2:D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6:D16"/>
  <sheetViews>
    <sheetView zoomScalePageLayoutView="0" workbookViewId="0" topLeftCell="A1">
      <selection activeCell="I15" sqref="I15:L15"/>
    </sheetView>
  </sheetViews>
  <sheetFormatPr defaultColWidth="9.140625" defaultRowHeight="12.75"/>
  <sheetData>
    <row r="6" spans="1:4" ht="12.75">
      <c r="A6" s="187">
        <v>12</v>
      </c>
      <c r="B6" s="188">
        <v>180100</v>
      </c>
      <c r="C6" s="174"/>
      <c r="D6" s="209">
        <f aca="true" t="shared" si="0" ref="D6:D16">B6/12</f>
        <v>15008.333333333334</v>
      </c>
    </row>
    <row r="7" spans="1:4" ht="12.75">
      <c r="A7" s="187">
        <v>13</v>
      </c>
      <c r="B7" s="391">
        <v>183500</v>
      </c>
      <c r="C7" s="679"/>
      <c r="D7" s="209">
        <f t="shared" si="0"/>
        <v>15291.666666666666</v>
      </c>
    </row>
    <row r="8" spans="1:4" ht="12.75">
      <c r="A8" s="187">
        <v>14</v>
      </c>
      <c r="B8" s="391">
        <v>186600</v>
      </c>
      <c r="C8" s="679"/>
      <c r="D8" s="209">
        <f t="shared" si="0"/>
        <v>15550</v>
      </c>
    </row>
    <row r="9" spans="1:4" ht="12.75">
      <c r="A9" s="187">
        <v>15</v>
      </c>
      <c r="B9" s="391">
        <v>191300</v>
      </c>
      <c r="C9" s="679"/>
      <c r="D9" s="209">
        <f t="shared" si="0"/>
        <v>15941.666666666666</v>
      </c>
    </row>
    <row r="10" spans="1:4" ht="12.75">
      <c r="A10" s="187">
        <v>16</v>
      </c>
      <c r="B10" s="391">
        <v>196700</v>
      </c>
      <c r="C10" s="679"/>
      <c r="D10" s="209">
        <f t="shared" si="0"/>
        <v>16391.666666666668</v>
      </c>
    </row>
    <row r="11" spans="1:4" ht="12.75">
      <c r="A11" s="187"/>
      <c r="B11" s="188"/>
      <c r="C11" s="174"/>
      <c r="D11" s="209">
        <f t="shared" si="0"/>
        <v>0</v>
      </c>
    </row>
    <row r="12" spans="1:4" ht="12.75">
      <c r="A12" s="187"/>
      <c r="B12" s="188"/>
      <c r="C12" s="174"/>
      <c r="D12" s="209">
        <f t="shared" si="0"/>
        <v>0</v>
      </c>
    </row>
    <row r="13" spans="1:4" ht="12.75">
      <c r="A13" s="187"/>
      <c r="B13" s="188"/>
      <c r="C13" s="174"/>
      <c r="D13" s="209">
        <f t="shared" si="0"/>
        <v>0</v>
      </c>
    </row>
    <row r="14" spans="1:4" ht="12.75">
      <c r="A14" s="187">
        <v>17</v>
      </c>
      <c r="B14" s="188">
        <v>199700</v>
      </c>
      <c r="C14" s="174"/>
      <c r="D14" s="209">
        <f t="shared" si="0"/>
        <v>16641.666666666668</v>
      </c>
    </row>
    <row r="15" spans="1:4" ht="12.75">
      <c r="A15" s="187">
        <v>18</v>
      </c>
      <c r="B15" s="188">
        <v>199700</v>
      </c>
      <c r="C15" s="174"/>
      <c r="D15" s="209">
        <f t="shared" si="0"/>
        <v>16641.666666666668</v>
      </c>
    </row>
    <row r="16" spans="1:4" ht="12.75">
      <c r="A16" s="187">
        <v>19</v>
      </c>
      <c r="B16" s="391">
        <v>179700</v>
      </c>
      <c r="C16" s="679"/>
      <c r="D16" s="209">
        <f t="shared" si="0"/>
        <v>14975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IV143"/>
  <sheetViews>
    <sheetView showGridLines="0" showZeros="0" tabSelected="1" zoomScale="75" zoomScaleNormal="75" zoomScalePageLayoutView="0" workbookViewId="0" topLeftCell="A1">
      <selection activeCell="E11" sqref="E11"/>
    </sheetView>
  </sheetViews>
  <sheetFormatPr defaultColWidth="0" defaultRowHeight="12.75" zeroHeight="1"/>
  <cols>
    <col min="1" max="1" width="5.7109375" style="25" customWidth="1"/>
    <col min="2" max="2" width="12.140625" style="16" customWidth="1"/>
    <col min="3" max="3" width="8.28125" style="16" customWidth="1"/>
    <col min="4" max="4" width="16.28125" style="16" customWidth="1"/>
    <col min="5" max="5" width="20.140625" style="16" customWidth="1"/>
    <col min="6" max="6" width="9.00390625" style="16" customWidth="1"/>
    <col min="7" max="7" width="14.28125" style="16" customWidth="1"/>
    <col min="8" max="8" width="16.28125" style="16" customWidth="1"/>
    <col min="9" max="9" width="9.57421875" style="16" bestFit="1" customWidth="1"/>
    <col min="10" max="13" width="14.00390625" style="16" customWidth="1"/>
    <col min="14" max="14" width="12.421875" style="16" customWidth="1"/>
    <col min="15" max="15" width="0.2890625" style="16" customWidth="1"/>
    <col min="16" max="16" width="15.00390625" style="16" customWidth="1"/>
    <col min="17" max="18" width="11.140625" style="16" customWidth="1"/>
    <col min="19" max="20" width="12.00390625" style="16" bestFit="1" customWidth="1"/>
    <col min="21" max="21" width="12.28125" style="16" customWidth="1"/>
    <col min="22" max="22" width="8.00390625" style="16" hidden="1" customWidth="1"/>
    <col min="23" max="23" width="9.140625" style="22" hidden="1" customWidth="1"/>
    <col min="24" max="24" width="8.28125" style="22" hidden="1" customWidth="1"/>
    <col min="25" max="25" width="10.57421875" style="22" hidden="1" customWidth="1"/>
    <col min="26" max="27" width="10.28125" style="22" hidden="1" customWidth="1"/>
    <col min="28" max="28" width="9.00390625" style="22" hidden="1" customWidth="1"/>
    <col min="29" max="39" width="9.140625" style="22" hidden="1" customWidth="1"/>
    <col min="40" max="16384" width="9.140625" style="16" hidden="1" customWidth="1"/>
  </cols>
  <sheetData>
    <row r="1" spans="1:22" ht="51" customHeight="1">
      <c r="A1" s="170"/>
      <c r="B1" s="171"/>
      <c r="C1" s="171"/>
      <c r="D1" s="171"/>
      <c r="E1" s="171"/>
      <c r="F1" s="171"/>
      <c r="G1" s="171"/>
      <c r="H1" s="171"/>
      <c r="I1" s="171"/>
      <c r="J1" s="171"/>
      <c r="K1" s="171"/>
      <c r="L1" s="171"/>
      <c r="M1" s="171"/>
      <c r="N1" s="171"/>
      <c r="O1" s="172"/>
      <c r="P1" s="173"/>
      <c r="Q1" s="172"/>
      <c r="R1" s="172"/>
      <c r="S1" s="172"/>
      <c r="T1" s="172"/>
      <c r="U1" s="172"/>
      <c r="V1" s="172"/>
    </row>
    <row r="2" spans="1:256" ht="26.25" customHeight="1" thickBot="1">
      <c r="A2" s="176" t="s">
        <v>49</v>
      </c>
      <c r="B2" s="175" t="s">
        <v>162</v>
      </c>
      <c r="C2" s="175" t="s">
        <v>183</v>
      </c>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c r="FG2" s="175"/>
      <c r="FH2" s="175"/>
      <c r="FI2" s="175"/>
      <c r="FJ2" s="175"/>
      <c r="FK2" s="175"/>
      <c r="FL2" s="175"/>
      <c r="FM2" s="175"/>
      <c r="FN2" s="175"/>
      <c r="FO2" s="175"/>
      <c r="FP2" s="175"/>
      <c r="FQ2" s="175"/>
      <c r="FR2" s="175"/>
      <c r="FS2" s="175"/>
      <c r="FT2" s="175"/>
      <c r="FU2" s="175"/>
      <c r="FV2" s="175"/>
      <c r="FW2" s="175"/>
      <c r="FX2" s="175"/>
      <c r="FY2" s="175"/>
      <c r="FZ2" s="175"/>
      <c r="GA2" s="175"/>
      <c r="GB2" s="175"/>
      <c r="GC2" s="175"/>
      <c r="GD2" s="175"/>
      <c r="GE2" s="175"/>
      <c r="GF2" s="175"/>
      <c r="GG2" s="175"/>
      <c r="GH2" s="175"/>
      <c r="GI2" s="175"/>
      <c r="GJ2" s="175"/>
      <c r="GK2" s="175"/>
      <c r="GL2" s="175"/>
      <c r="GM2" s="175"/>
      <c r="GN2" s="175"/>
      <c r="GO2" s="175"/>
      <c r="GP2" s="175"/>
      <c r="GQ2" s="175"/>
      <c r="GR2" s="175"/>
      <c r="GS2" s="175"/>
      <c r="GT2" s="175"/>
      <c r="GU2" s="175"/>
      <c r="GV2" s="175"/>
      <c r="GW2" s="175"/>
      <c r="GX2" s="175"/>
      <c r="GY2" s="175"/>
      <c r="GZ2" s="175"/>
      <c r="HA2" s="175"/>
      <c r="HB2" s="175"/>
      <c r="HC2" s="175"/>
      <c r="HD2" s="175"/>
      <c r="HE2" s="175"/>
      <c r="HF2" s="175"/>
      <c r="HG2" s="175"/>
      <c r="HH2" s="175"/>
      <c r="HI2" s="175"/>
      <c r="HJ2" s="175"/>
      <c r="HK2" s="175"/>
      <c r="HL2" s="175"/>
      <c r="HM2" s="175"/>
      <c r="HN2" s="175"/>
      <c r="HO2" s="175"/>
      <c r="HP2" s="175"/>
      <c r="HQ2" s="175"/>
      <c r="HR2" s="175"/>
      <c r="HS2" s="175"/>
      <c r="HT2" s="175"/>
      <c r="HU2" s="175"/>
      <c r="HV2" s="175"/>
      <c r="HW2" s="175"/>
      <c r="HX2" s="175"/>
      <c r="HY2" s="175"/>
      <c r="HZ2" s="175"/>
      <c r="IA2" s="175"/>
      <c r="IB2" s="175"/>
      <c r="IC2" s="175"/>
      <c r="ID2" s="175"/>
      <c r="IE2" s="175"/>
      <c r="IF2" s="175"/>
      <c r="IG2" s="175"/>
      <c r="IH2" s="175"/>
      <c r="II2" s="175"/>
      <c r="IJ2" s="175"/>
      <c r="IK2" s="175"/>
      <c r="IL2" s="175"/>
      <c r="IM2" s="175"/>
      <c r="IN2" s="175"/>
      <c r="IO2" s="175"/>
      <c r="IP2" s="175"/>
      <c r="IQ2" s="175"/>
      <c r="IR2" s="175"/>
      <c r="IS2" s="175"/>
      <c r="IT2" s="175"/>
      <c r="IU2" s="175"/>
      <c r="IV2" s="175"/>
    </row>
    <row r="3" spans="1:22" ht="4.5" customHeight="1" thickTop="1">
      <c r="A3" s="177"/>
      <c r="B3" s="178"/>
      <c r="C3" s="178"/>
      <c r="D3" s="178"/>
      <c r="E3" s="178"/>
      <c r="F3" s="178"/>
      <c r="G3" s="178"/>
      <c r="H3" s="178"/>
      <c r="I3" s="603"/>
      <c r="J3" s="178"/>
      <c r="K3" s="178"/>
      <c r="L3" s="178"/>
      <c r="M3" s="178"/>
      <c r="N3" s="178"/>
      <c r="O3" s="178"/>
      <c r="P3" s="605"/>
      <c r="Q3" s="178"/>
      <c r="R3" s="178"/>
      <c r="S3" s="178"/>
      <c r="T3" s="178"/>
      <c r="U3" s="179"/>
      <c r="V3" s="174"/>
    </row>
    <row r="4" spans="1:22" ht="15">
      <c r="A4" s="180"/>
      <c r="B4" s="181" t="s">
        <v>77</v>
      </c>
      <c r="C4" s="384"/>
      <c r="D4" s="384"/>
      <c r="E4" s="174"/>
      <c r="F4" s="174"/>
      <c r="G4" s="174"/>
      <c r="H4" s="174"/>
      <c r="I4" s="604"/>
      <c r="J4" s="174"/>
      <c r="K4" s="174"/>
      <c r="L4" s="390" t="s">
        <v>49</v>
      </c>
      <c r="M4" s="183"/>
      <c r="N4" s="385" t="s">
        <v>61</v>
      </c>
      <c r="O4" s="386"/>
      <c r="P4" s="606" t="s">
        <v>60</v>
      </c>
      <c r="Q4" s="174"/>
      <c r="R4" s="174"/>
      <c r="S4" s="174"/>
      <c r="T4" s="174"/>
      <c r="U4" s="190"/>
      <c r="V4" s="174"/>
    </row>
    <row r="5" spans="1:31" ht="12.75" hidden="1">
      <c r="A5" s="180"/>
      <c r="B5" s="181"/>
      <c r="G5" s="183" t="s">
        <v>49</v>
      </c>
      <c r="H5" s="174"/>
      <c r="I5" s="671"/>
      <c r="J5" s="664"/>
      <c r="K5" s="664"/>
      <c r="L5" s="186" t="s">
        <v>86</v>
      </c>
      <c r="M5" s="187">
        <v>1</v>
      </c>
      <c r="N5" s="188">
        <v>125000</v>
      </c>
      <c r="O5" s="184"/>
      <c r="P5" s="189">
        <f>N5/12</f>
        <v>10416.666666666666</v>
      </c>
      <c r="Q5" s="174"/>
      <c r="R5" s="174"/>
      <c r="S5" s="198"/>
      <c r="T5" s="220"/>
      <c r="U5" s="190"/>
      <c r="V5" s="174"/>
      <c r="AD5" s="22" t="s">
        <v>127</v>
      </c>
      <c r="AE5" s="45"/>
    </row>
    <row r="6" spans="1:31" ht="12.75" hidden="1">
      <c r="A6" s="180"/>
      <c r="B6" s="191"/>
      <c r="G6" s="193"/>
      <c r="H6" s="193"/>
      <c r="I6" s="671"/>
      <c r="J6" s="664"/>
      <c r="K6" s="664"/>
      <c r="L6" s="186" t="s">
        <v>87</v>
      </c>
      <c r="M6" s="187">
        <v>2</v>
      </c>
      <c r="N6" s="188">
        <v>125900</v>
      </c>
      <c r="O6" s="184"/>
      <c r="P6" s="189">
        <f>N6/12</f>
        <v>10491.666666666666</v>
      </c>
      <c r="Q6" s="196"/>
      <c r="R6" s="196"/>
      <c r="S6" s="592"/>
      <c r="T6" s="593"/>
      <c r="U6" s="197"/>
      <c r="V6" s="196"/>
      <c r="AD6" s="22" t="s">
        <v>128</v>
      </c>
      <c r="AE6" s="45"/>
    </row>
    <row r="7" spans="1:31" ht="12.75" hidden="1">
      <c r="A7" s="180"/>
      <c r="B7" s="191"/>
      <c r="G7" s="174"/>
      <c r="H7" s="193"/>
      <c r="I7" s="671"/>
      <c r="J7" s="664"/>
      <c r="K7" s="664"/>
      <c r="L7" s="186" t="s">
        <v>88</v>
      </c>
      <c r="M7" s="187">
        <v>3</v>
      </c>
      <c r="N7" s="188">
        <v>130200</v>
      </c>
      <c r="O7" s="184"/>
      <c r="P7" s="189">
        <f>N7/12</f>
        <v>10850</v>
      </c>
      <c r="Q7" s="174"/>
      <c r="R7" s="174"/>
      <c r="S7" s="174"/>
      <c r="T7" s="174"/>
      <c r="U7" s="190"/>
      <c r="V7" s="174"/>
      <c r="X7" s="17" t="s">
        <v>18</v>
      </c>
      <c r="AA7" s="17" t="s">
        <v>22</v>
      </c>
      <c r="AB7" s="106">
        <f>SUM(Z41:AB41)</f>
        <v>0</v>
      </c>
      <c r="AD7" s="22" t="s">
        <v>129</v>
      </c>
      <c r="AE7" s="45"/>
    </row>
    <row r="8" spans="1:28" ht="30" customHeight="1" hidden="1">
      <c r="A8" s="180"/>
      <c r="B8" s="191"/>
      <c r="G8" s="174"/>
      <c r="H8" s="193"/>
      <c r="I8" s="671"/>
      <c r="J8" s="664"/>
      <c r="K8" s="664"/>
      <c r="L8" s="186" t="s">
        <v>89</v>
      </c>
      <c r="M8" s="204">
        <v>4</v>
      </c>
      <c r="N8" s="205">
        <v>136700</v>
      </c>
      <c r="O8" s="206"/>
      <c r="P8" s="207">
        <f>N8/12</f>
        <v>11391.666666666666</v>
      </c>
      <c r="Q8" s="174"/>
      <c r="R8" s="174"/>
      <c r="S8" s="174"/>
      <c r="T8" s="174"/>
      <c r="U8" s="190"/>
      <c r="V8" s="174"/>
      <c r="X8" s="17"/>
      <c r="AA8" s="17"/>
      <c r="AB8" s="106"/>
    </row>
    <row r="9" spans="1:28" ht="22.5" customHeight="1" hidden="1">
      <c r="A9" s="180"/>
      <c r="B9" s="191"/>
      <c r="G9" s="174"/>
      <c r="H9" s="193"/>
      <c r="I9" s="861" t="s">
        <v>90</v>
      </c>
      <c r="J9" s="862"/>
      <c r="K9" s="862"/>
      <c r="L9" s="863"/>
      <c r="M9" s="187">
        <v>5</v>
      </c>
      <c r="N9" s="188">
        <v>141300</v>
      </c>
      <c r="O9" s="208"/>
      <c r="P9" s="189">
        <f>f/12</f>
        <v>11775</v>
      </c>
      <c r="Q9" s="174"/>
      <c r="R9" s="174"/>
      <c r="S9" s="174"/>
      <c r="T9" s="174"/>
      <c r="U9" s="190"/>
      <c r="V9" s="174"/>
      <c r="X9" s="17"/>
      <c r="AA9" s="17"/>
      <c r="AB9" s="106"/>
    </row>
    <row r="10" spans="1:28" ht="19.5" customHeight="1">
      <c r="A10" s="180"/>
      <c r="B10" s="191"/>
      <c r="G10" s="174"/>
      <c r="H10" s="193"/>
      <c r="I10" s="953" t="s">
        <v>204</v>
      </c>
      <c r="J10" s="946"/>
      <c r="K10" s="946"/>
      <c r="L10" s="947"/>
      <c r="M10" s="708">
        <v>1</v>
      </c>
      <c r="N10" s="956">
        <v>191300</v>
      </c>
      <c r="O10" s="208"/>
      <c r="P10" s="711">
        <f aca="true" t="shared" si="0" ref="P10:P17">N10/12</f>
        <v>15941.666666666666</v>
      </c>
      <c r="Q10" s="174"/>
      <c r="R10" s="174"/>
      <c r="S10" s="174"/>
      <c r="T10" s="174"/>
      <c r="U10" s="190"/>
      <c r="V10" s="174"/>
      <c r="X10" s="17"/>
      <c r="AA10" s="17"/>
      <c r="AB10" s="106"/>
    </row>
    <row r="11" spans="1:28" ht="16.5" customHeight="1">
      <c r="A11" s="180"/>
      <c r="B11" s="191"/>
      <c r="C11" s="674" t="s">
        <v>58</v>
      </c>
      <c r="D11" s="167"/>
      <c r="E11" s="182"/>
      <c r="H11" s="193"/>
      <c r="I11" s="953" t="s">
        <v>205</v>
      </c>
      <c r="J11" s="946"/>
      <c r="K11" s="946"/>
      <c r="L11" s="947"/>
      <c r="M11" s="708">
        <v>2</v>
      </c>
      <c r="N11" s="956">
        <v>196700</v>
      </c>
      <c r="O11" s="184"/>
      <c r="P11" s="711">
        <f t="shared" si="0"/>
        <v>16391.666666666668</v>
      </c>
      <c r="Q11" s="174"/>
      <c r="R11" s="174"/>
      <c r="S11" s="174"/>
      <c r="T11" s="174"/>
      <c r="U11" s="190"/>
      <c r="V11" s="174"/>
      <c r="X11" s="17"/>
      <c r="AA11" s="17"/>
      <c r="AB11" s="106"/>
    </row>
    <row r="12" spans="1:28" ht="27" customHeight="1">
      <c r="A12" s="180"/>
      <c r="B12" s="191"/>
      <c r="C12" s="675" t="s">
        <v>126</v>
      </c>
      <c r="D12" s="168"/>
      <c r="E12" s="192"/>
      <c r="H12" s="193"/>
      <c r="I12" s="953" t="s">
        <v>206</v>
      </c>
      <c r="J12" s="946"/>
      <c r="K12" s="946"/>
      <c r="L12" s="947"/>
      <c r="M12" s="508">
        <v>3</v>
      </c>
      <c r="N12" s="957">
        <v>199700</v>
      </c>
      <c r="O12" s="184"/>
      <c r="P12" s="511">
        <f t="shared" si="0"/>
        <v>16641.666666666668</v>
      </c>
      <c r="Q12" s="174"/>
      <c r="R12" s="174"/>
      <c r="S12" s="174"/>
      <c r="T12" s="174"/>
      <c r="U12" s="190"/>
      <c r="V12" s="174"/>
      <c r="X12" s="17"/>
      <c r="AA12" s="17"/>
      <c r="AB12" s="106"/>
    </row>
    <row r="13" spans="1:28" ht="38.25" customHeight="1">
      <c r="A13" s="180"/>
      <c r="B13" s="191"/>
      <c r="C13" s="674" t="s">
        <v>26</v>
      </c>
      <c r="D13" s="169"/>
      <c r="E13" s="192"/>
      <c r="H13" s="193"/>
      <c r="I13" s="953" t="s">
        <v>207</v>
      </c>
      <c r="J13" s="946"/>
      <c r="K13" s="946"/>
      <c r="L13" s="947"/>
      <c r="M13" s="508">
        <v>4</v>
      </c>
      <c r="N13" s="957">
        <v>179700</v>
      </c>
      <c r="O13" s="665"/>
      <c r="P13" s="511">
        <f t="shared" si="0"/>
        <v>14975</v>
      </c>
      <c r="Q13" s="174"/>
      <c r="R13" s="174"/>
      <c r="S13" s="174"/>
      <c r="T13" s="174"/>
      <c r="U13" s="190"/>
      <c r="V13" s="174"/>
      <c r="X13" s="17"/>
      <c r="AA13" s="17"/>
      <c r="AB13" s="106"/>
    </row>
    <row r="14" spans="1:28" ht="27.75" customHeight="1">
      <c r="A14" s="180"/>
      <c r="B14" s="191"/>
      <c r="C14" s="674" t="s">
        <v>27</v>
      </c>
      <c r="D14" s="169"/>
      <c r="E14" s="192"/>
      <c r="H14" s="193"/>
      <c r="I14" s="953" t="s">
        <v>200</v>
      </c>
      <c r="J14" s="946"/>
      <c r="K14" s="946"/>
      <c r="L14" s="947"/>
      <c r="M14" s="508">
        <v>5</v>
      </c>
      <c r="N14" s="957">
        <v>181500</v>
      </c>
      <c r="O14" s="665"/>
      <c r="P14" s="511">
        <f t="shared" si="0"/>
        <v>15125</v>
      </c>
      <c r="Q14" s="174"/>
      <c r="R14" s="174"/>
      <c r="S14" s="174"/>
      <c r="T14" s="174"/>
      <c r="U14" s="190"/>
      <c r="V14" s="174"/>
      <c r="X14" s="17"/>
      <c r="AA14" s="17"/>
      <c r="AB14" s="106"/>
    </row>
    <row r="15" spans="1:28" ht="30" customHeight="1">
      <c r="A15" s="180"/>
      <c r="B15" s="191"/>
      <c r="C15" s="198"/>
      <c r="D15" s="198"/>
      <c r="E15" s="201"/>
      <c r="F15" s="202"/>
      <c r="G15" s="174"/>
      <c r="H15" s="193"/>
      <c r="I15" s="953" t="s">
        <v>201</v>
      </c>
      <c r="J15" s="946"/>
      <c r="K15" s="946"/>
      <c r="L15" s="947"/>
      <c r="M15" s="715">
        <v>6</v>
      </c>
      <c r="N15" s="956">
        <v>230000</v>
      </c>
      <c r="O15" s="174"/>
      <c r="P15" s="712">
        <f t="shared" si="0"/>
        <v>19166.666666666668</v>
      </c>
      <c r="Q15" s="174"/>
      <c r="R15" s="174"/>
      <c r="S15" s="174"/>
      <c r="T15" s="174"/>
      <c r="U15" s="190"/>
      <c r="V15" s="174"/>
      <c r="X15" s="17"/>
      <c r="AA15" s="17"/>
      <c r="AB15" s="106"/>
    </row>
    <row r="16" spans="1:28" ht="30" customHeight="1">
      <c r="A16" s="180"/>
      <c r="B16" s="191"/>
      <c r="C16" s="198"/>
      <c r="D16" s="198"/>
      <c r="E16" s="201"/>
      <c r="F16" s="202"/>
      <c r="G16" s="174"/>
      <c r="H16" s="193"/>
      <c r="I16" s="954" t="s">
        <v>208</v>
      </c>
      <c r="J16" s="951"/>
      <c r="K16" s="951"/>
      <c r="L16" s="952"/>
      <c r="M16" s="708">
        <v>7</v>
      </c>
      <c r="N16" s="956">
        <v>183300</v>
      </c>
      <c r="O16" s="710"/>
      <c r="P16" s="713">
        <f t="shared" si="0"/>
        <v>15275</v>
      </c>
      <c r="Q16" s="174"/>
      <c r="R16" s="174"/>
      <c r="S16" s="174"/>
      <c r="T16" s="174"/>
      <c r="U16" s="190"/>
      <c r="V16" s="174"/>
      <c r="X16" s="17"/>
      <c r="AA16" s="17"/>
      <c r="AB16" s="106"/>
    </row>
    <row r="17" spans="1:28" ht="30" customHeight="1">
      <c r="A17" s="180"/>
      <c r="B17" s="191"/>
      <c r="C17" s="198"/>
      <c r="D17" s="198"/>
      <c r="E17" s="201"/>
      <c r="F17" s="202"/>
      <c r="G17" s="174"/>
      <c r="H17" s="193"/>
      <c r="I17" s="953" t="s">
        <v>209</v>
      </c>
      <c r="J17" s="948"/>
      <c r="K17" s="948"/>
      <c r="L17" s="949"/>
      <c r="M17" s="708">
        <v>8</v>
      </c>
      <c r="N17" s="956">
        <v>185100</v>
      </c>
      <c r="O17" s="709"/>
      <c r="P17" s="714">
        <f t="shared" si="0"/>
        <v>15425</v>
      </c>
      <c r="Q17" s="174"/>
      <c r="R17" s="174"/>
      <c r="S17" s="174"/>
      <c r="T17" s="174"/>
      <c r="U17" s="190"/>
      <c r="V17" s="174"/>
      <c r="X17" s="17"/>
      <c r="AA17" s="17"/>
      <c r="AB17" s="106"/>
    </row>
    <row r="18" spans="1:28" ht="30" customHeight="1">
      <c r="A18" s="180"/>
      <c r="B18" s="191"/>
      <c r="C18" s="198"/>
      <c r="D18" s="198"/>
      <c r="E18" s="201"/>
      <c r="F18" s="202"/>
      <c r="G18" s="174"/>
      <c r="H18" s="193"/>
      <c r="Q18" s="174"/>
      <c r="R18" s="174"/>
      <c r="S18" s="174"/>
      <c r="T18" s="174"/>
      <c r="U18" s="190"/>
      <c r="V18" s="174"/>
      <c r="X18" s="17"/>
      <c r="AA18" s="17"/>
      <c r="AB18" s="106"/>
    </row>
    <row r="19" spans="1:28" ht="30" customHeight="1">
      <c r="A19" s="180"/>
      <c r="B19" s="191"/>
      <c r="C19" s="198"/>
      <c r="D19" s="198"/>
      <c r="E19" s="201"/>
      <c r="F19" s="202"/>
      <c r="G19" s="174"/>
      <c r="H19" s="193"/>
      <c r="Q19" s="174"/>
      <c r="R19" s="174"/>
      <c r="S19" s="174"/>
      <c r="T19" s="174"/>
      <c r="U19" s="190"/>
      <c r="V19" s="174"/>
      <c r="X19" s="17"/>
      <c r="AA19" s="17"/>
      <c r="AB19" s="106"/>
    </row>
    <row r="20" spans="1:28" ht="30" customHeight="1">
      <c r="A20" s="180"/>
      <c r="B20" s="191"/>
      <c r="C20" s="198"/>
      <c r="D20" s="198"/>
      <c r="E20" s="201"/>
      <c r="F20" s="202"/>
      <c r="G20" s="174"/>
      <c r="H20" s="193"/>
      <c r="Q20" s="174"/>
      <c r="R20" s="174"/>
      <c r="S20" s="174"/>
      <c r="T20" s="174"/>
      <c r="U20" s="190"/>
      <c r="V20" s="174"/>
      <c r="X20" s="17"/>
      <c r="AA20" s="17"/>
      <c r="AB20" s="106"/>
    </row>
    <row r="21" spans="1:28" ht="30" customHeight="1" hidden="1">
      <c r="A21" s="180"/>
      <c r="B21" s="191"/>
      <c r="C21" s="198"/>
      <c r="D21" s="198"/>
      <c r="E21" s="201"/>
      <c r="F21" s="202"/>
      <c r="G21" s="174"/>
      <c r="H21" s="193"/>
      <c r="I21" s="676"/>
      <c r="J21" s="677"/>
      <c r="K21" s="677"/>
      <c r="L21" s="678"/>
      <c r="Q21" s="174"/>
      <c r="R21" s="174"/>
      <c r="S21" s="174"/>
      <c r="T21" s="174"/>
      <c r="U21" s="190"/>
      <c r="V21" s="174"/>
      <c r="X21" s="17"/>
      <c r="AA21" s="17"/>
      <c r="AB21" s="106"/>
    </row>
    <row r="22" spans="1:28" ht="30" customHeight="1" hidden="1">
      <c r="A22" s="180"/>
      <c r="B22" s="191"/>
      <c r="C22" s="198"/>
      <c r="D22" s="198"/>
      <c r="E22" s="201"/>
      <c r="F22" s="202"/>
      <c r="G22" s="174"/>
      <c r="H22" s="193"/>
      <c r="I22" s="676"/>
      <c r="J22" s="677"/>
      <c r="K22" s="677"/>
      <c r="L22" s="678"/>
      <c r="Q22" s="174"/>
      <c r="R22" s="174"/>
      <c r="S22" s="174"/>
      <c r="T22" s="174"/>
      <c r="U22" s="190"/>
      <c r="V22" s="174"/>
      <c r="X22" s="17"/>
      <c r="AA22" s="17"/>
      <c r="AB22" s="106"/>
    </row>
    <row r="23" spans="1:28" ht="12.75" customHeight="1" hidden="1">
      <c r="A23" s="180"/>
      <c r="B23" s="191"/>
      <c r="C23" s="198"/>
      <c r="D23" s="198"/>
      <c r="E23" s="201"/>
      <c r="F23" s="202"/>
      <c r="G23" s="174"/>
      <c r="H23" s="193"/>
      <c r="I23" s="885"/>
      <c r="J23" s="886"/>
      <c r="K23" s="886"/>
      <c r="L23" s="887"/>
      <c r="Q23" s="174"/>
      <c r="R23" s="174"/>
      <c r="S23" s="174"/>
      <c r="T23" s="174"/>
      <c r="U23" s="190"/>
      <c r="V23" s="174"/>
      <c r="X23" s="17"/>
      <c r="AA23" s="17"/>
      <c r="AB23" s="106"/>
    </row>
    <row r="24" spans="1:28" ht="19.5" customHeight="1">
      <c r="A24" s="180"/>
      <c r="B24" s="191"/>
      <c r="C24" s="198"/>
      <c r="D24" s="198"/>
      <c r="E24" s="201"/>
      <c r="F24" s="202"/>
      <c r="G24" s="174"/>
      <c r="H24" s="193"/>
      <c r="Q24" s="174"/>
      <c r="R24" s="174"/>
      <c r="S24" s="174"/>
      <c r="T24" s="174"/>
      <c r="U24" s="190"/>
      <c r="V24" s="174"/>
      <c r="X24" s="17"/>
      <c r="AA24" s="17"/>
      <c r="AB24" s="106"/>
    </row>
    <row r="25" spans="1:28" ht="18" customHeight="1">
      <c r="A25" s="180"/>
      <c r="B25" s="191"/>
      <c r="C25" s="198"/>
      <c r="D25" s="198"/>
      <c r="E25" s="201"/>
      <c r="F25" s="202"/>
      <c r="G25" s="174"/>
      <c r="H25" s="193"/>
      <c r="Q25" s="174"/>
      <c r="R25" s="174"/>
      <c r="S25" s="174"/>
      <c r="T25" s="174"/>
      <c r="U25" s="190"/>
      <c r="V25" s="174"/>
      <c r="X25" s="17"/>
      <c r="AA25" s="17"/>
      <c r="AB25" s="106"/>
    </row>
    <row r="26" spans="1:28" ht="30" customHeight="1">
      <c r="A26" s="180"/>
      <c r="B26" s="191"/>
      <c r="C26" s="198"/>
      <c r="D26" s="198"/>
      <c r="E26" s="201"/>
      <c r="F26" s="202"/>
      <c r="G26" s="174"/>
      <c r="H26" s="193"/>
      <c r="Q26" s="174"/>
      <c r="R26" s="174"/>
      <c r="S26" s="174"/>
      <c r="T26" s="174"/>
      <c r="U26" s="190"/>
      <c r="V26" s="174"/>
      <c r="X26" s="17"/>
      <c r="AA26" s="17"/>
      <c r="AB26" s="106"/>
    </row>
    <row r="27" spans="1:28" ht="12.75">
      <c r="A27" s="180"/>
      <c r="B27" s="191"/>
      <c r="C27" s="198"/>
      <c r="D27" s="198"/>
      <c r="E27" s="884"/>
      <c r="F27" s="884"/>
      <c r="G27" s="210"/>
      <c r="H27" s="210"/>
      <c r="I27" s="174"/>
      <c r="J27" s="174"/>
      <c r="K27" s="174"/>
      <c r="L27" s="211"/>
      <c r="M27" s="959" t="s">
        <v>210</v>
      </c>
      <c r="N27" s="212" t="str">
        <f>IF(E31&gt;=N13,"YES","NO")</f>
        <v>NO</v>
      </c>
      <c r="O27" s="212"/>
      <c r="P27" s="212"/>
      <c r="Q27" s="212"/>
      <c r="R27" s="212"/>
      <c r="S27" s="212"/>
      <c r="T27" s="212"/>
      <c r="U27" s="213"/>
      <c r="V27" s="212"/>
      <c r="X27" s="883" t="s">
        <v>21</v>
      </c>
      <c r="Y27" s="883"/>
      <c r="Z27" s="883" t="s">
        <v>20</v>
      </c>
      <c r="AA27" s="883"/>
      <c r="AB27" s="883"/>
    </row>
    <row r="28" spans="1:28" ht="4.5" customHeight="1" thickBot="1">
      <c r="A28" s="214"/>
      <c r="B28" s="215"/>
      <c r="C28" s="215"/>
      <c r="D28" s="215"/>
      <c r="E28" s="215"/>
      <c r="F28" s="215"/>
      <c r="G28" s="215"/>
      <c r="H28" s="215"/>
      <c r="I28" s="215"/>
      <c r="J28" s="215"/>
      <c r="K28" s="215"/>
      <c r="L28" s="215"/>
      <c r="M28" s="215"/>
      <c r="N28" s="215"/>
      <c r="O28" s="215"/>
      <c r="P28" s="215"/>
      <c r="Q28" s="215"/>
      <c r="R28" s="215"/>
      <c r="S28" s="215"/>
      <c r="T28" s="215"/>
      <c r="U28" s="215"/>
      <c r="V28" s="174"/>
      <c r="X28" s="107"/>
      <c r="Y28" s="108"/>
      <c r="Z28" s="108"/>
      <c r="AA28" s="108"/>
      <c r="AB28" s="108"/>
    </row>
    <row r="29" spans="1:28" ht="17.25" customHeight="1" thickTop="1">
      <c r="A29" s="217"/>
      <c r="B29" s="218" t="s">
        <v>165</v>
      </c>
      <c r="C29" s="178"/>
      <c r="D29" s="178"/>
      <c r="E29" s="178"/>
      <c r="F29" s="178"/>
      <c r="G29" s="178"/>
      <c r="H29" s="178"/>
      <c r="I29" s="178"/>
      <c r="J29" s="178"/>
      <c r="K29" s="178"/>
      <c r="L29" s="178"/>
      <c r="M29" s="178"/>
      <c r="N29" s="178"/>
      <c r="O29" s="174"/>
      <c r="P29" s="174"/>
      <c r="Q29" s="174"/>
      <c r="R29" s="174"/>
      <c r="S29" s="174"/>
      <c r="T29" s="174"/>
      <c r="U29" s="190"/>
      <c r="V29" s="174"/>
      <c r="X29" s="107"/>
      <c r="Y29" s="108"/>
      <c r="Z29" s="108"/>
      <c r="AA29" s="108"/>
      <c r="AB29" s="108"/>
    </row>
    <row r="30" spans="1:28" ht="14.25" customHeight="1">
      <c r="A30" s="219"/>
      <c r="B30" s="174"/>
      <c r="C30" s="220" t="s">
        <v>44</v>
      </c>
      <c r="D30" s="220"/>
      <c r="E30" s="174"/>
      <c r="F30" s="174"/>
      <c r="G30" s="174"/>
      <c r="H30" s="174"/>
      <c r="I30" s="174"/>
      <c r="J30" s="174"/>
      <c r="K30" s="174"/>
      <c r="L30" s="174"/>
      <c r="M30" s="174"/>
      <c r="N30" s="174"/>
      <c r="O30" s="174"/>
      <c r="P30" s="174"/>
      <c r="Q30" s="174"/>
      <c r="R30" s="174"/>
      <c r="S30" s="174"/>
      <c r="T30" s="174"/>
      <c r="U30" s="190"/>
      <c r="V30" s="174"/>
      <c r="X30" s="107"/>
      <c r="Y30" s="108"/>
      <c r="Z30" s="108"/>
      <c r="AA30" s="108"/>
      <c r="AB30" s="108"/>
    </row>
    <row r="31" spans="1:28" ht="14.25" customHeight="1">
      <c r="A31" s="219"/>
      <c r="B31" s="174"/>
      <c r="C31" s="220"/>
      <c r="D31" s="220"/>
      <c r="E31" s="70"/>
      <c r="F31" s="221" t="s">
        <v>49</v>
      </c>
      <c r="G31" s="198"/>
      <c r="H31" s="554">
        <f>IF(ISERROR(IF(E34="",E31/J42,E34)),0,IF(E34="",E31/J42,E34))</f>
        <v>0</v>
      </c>
      <c r="I31" s="174"/>
      <c r="J31" s="174"/>
      <c r="K31" s="174"/>
      <c r="L31" s="174"/>
      <c r="M31" s="174"/>
      <c r="N31" s="174"/>
      <c r="O31" s="174"/>
      <c r="P31" s="174"/>
      <c r="Q31" s="174"/>
      <c r="R31" s="174"/>
      <c r="S31" s="174"/>
      <c r="T31" s="174"/>
      <c r="U31" s="190"/>
      <c r="V31" s="174"/>
      <c r="X31" s="107"/>
      <c r="Y31" s="108"/>
      <c r="Z31" s="108"/>
      <c r="AA31" s="108"/>
      <c r="AB31" s="108"/>
    </row>
    <row r="32" spans="1:28" ht="14.25" customHeight="1">
      <c r="A32" s="219"/>
      <c r="B32" s="222"/>
      <c r="C32" s="174"/>
      <c r="D32" s="174"/>
      <c r="E32" s="174"/>
      <c r="F32" s="174"/>
      <c r="G32" s="174"/>
      <c r="H32" s="174"/>
      <c r="I32" s="174"/>
      <c r="J32" s="174"/>
      <c r="K32" s="174"/>
      <c r="L32" s="174"/>
      <c r="M32" s="174"/>
      <c r="N32" s="174"/>
      <c r="O32" s="174"/>
      <c r="P32" s="174"/>
      <c r="Q32" s="174"/>
      <c r="R32" s="174"/>
      <c r="S32" s="174"/>
      <c r="T32" s="174"/>
      <c r="U32" s="190"/>
      <c r="V32" s="174"/>
      <c r="X32" s="107"/>
      <c r="Y32" s="108"/>
      <c r="Z32" s="108"/>
      <c r="AA32" s="108"/>
      <c r="AB32" s="108"/>
    </row>
    <row r="33" spans="1:28" ht="13.5" customHeight="1">
      <c r="A33" s="223"/>
      <c r="B33" s="174"/>
      <c r="C33" s="174"/>
      <c r="D33" s="174"/>
      <c r="E33" s="174"/>
      <c r="F33" s="174"/>
      <c r="G33" s="174"/>
      <c r="H33" s="174"/>
      <c r="I33" s="174"/>
      <c r="J33" s="174"/>
      <c r="K33" s="174"/>
      <c r="L33" s="174"/>
      <c r="M33" s="174"/>
      <c r="N33" s="174"/>
      <c r="O33" s="174"/>
      <c r="P33" s="174"/>
      <c r="Q33" s="174"/>
      <c r="R33" s="174"/>
      <c r="S33" s="174"/>
      <c r="T33" s="174"/>
      <c r="U33" s="190"/>
      <c r="V33" s="174"/>
      <c r="X33" s="107"/>
      <c r="Y33" s="108"/>
      <c r="Z33" s="108"/>
      <c r="AA33" s="108"/>
      <c r="AB33" s="108"/>
    </row>
    <row r="34" spans="1:28" ht="13.5" customHeight="1">
      <c r="A34" s="180"/>
      <c r="B34" s="174"/>
      <c r="C34" s="174"/>
      <c r="D34" s="174"/>
      <c r="E34" s="657"/>
      <c r="F34" s="224"/>
      <c r="G34" s="198"/>
      <c r="H34" s="225"/>
      <c r="I34" s="174"/>
      <c r="J34" s="174"/>
      <c r="K34" s="174"/>
      <c r="L34" s="174"/>
      <c r="M34" s="174"/>
      <c r="N34" s="174"/>
      <c r="O34" s="174"/>
      <c r="P34" s="226" t="s">
        <v>49</v>
      </c>
      <c r="Q34" s="227"/>
      <c r="R34" s="227"/>
      <c r="S34" s="227"/>
      <c r="T34" s="227"/>
      <c r="U34" s="228"/>
      <c r="V34" s="174"/>
      <c r="X34" s="107"/>
      <c r="Y34" s="108"/>
      <c r="Z34" s="108"/>
      <c r="AA34" s="108"/>
      <c r="AB34" s="108"/>
    </row>
    <row r="35" spans="1:28" ht="13.5" thickBot="1">
      <c r="A35" s="214"/>
      <c r="B35" s="229"/>
      <c r="C35" s="229"/>
      <c r="D35" s="229"/>
      <c r="E35" s="215"/>
      <c r="F35" s="215"/>
      <c r="G35" s="215"/>
      <c r="H35" s="215"/>
      <c r="I35" s="215"/>
      <c r="J35" s="215"/>
      <c r="K35" s="215"/>
      <c r="L35" s="215"/>
      <c r="M35" s="215"/>
      <c r="N35" s="215"/>
      <c r="O35" s="215"/>
      <c r="P35" s="230"/>
      <c r="Q35" s="231"/>
      <c r="R35" s="231"/>
      <c r="S35" s="231"/>
      <c r="T35" s="231"/>
      <c r="U35" s="231"/>
      <c r="V35" s="175"/>
      <c r="X35" s="107"/>
      <c r="Y35" s="107"/>
      <c r="Z35" s="109"/>
      <c r="AA35" s="110"/>
      <c r="AB35" s="111"/>
    </row>
    <row r="36" spans="1:28" ht="27" customHeight="1" thickBot="1" thickTop="1">
      <c r="A36" s="180"/>
      <c r="B36" s="174"/>
      <c r="C36" s="232" t="s">
        <v>25</v>
      </c>
      <c r="D36" s="232"/>
      <c r="E36" s="61"/>
      <c r="F36" s="233" t="s">
        <v>49</v>
      </c>
      <c r="G36" s="234"/>
      <c r="H36" s="234"/>
      <c r="I36" s="235"/>
      <c r="J36" s="236" t="s">
        <v>24</v>
      </c>
      <c r="K36" s="237"/>
      <c r="L36" s="237"/>
      <c r="M36" s="237"/>
      <c r="N36" s="238"/>
      <c r="O36" s="239" t="s">
        <v>23</v>
      </c>
      <c r="P36" s="875" t="s">
        <v>80</v>
      </c>
      <c r="Q36" s="876"/>
      <c r="R36" s="876"/>
      <c r="S36" s="876"/>
      <c r="T36" s="876"/>
      <c r="U36" s="877"/>
      <c r="V36" s="240"/>
      <c r="X36" s="42"/>
      <c r="Y36" s="23"/>
      <c r="Z36" s="374"/>
      <c r="AA36" s="374"/>
      <c r="AB36" s="105"/>
    </row>
    <row r="37" spans="1:28" ht="16.5" customHeight="1" thickTop="1">
      <c r="A37" s="180"/>
      <c r="B37" s="174"/>
      <c r="C37" s="198" t="s">
        <v>0</v>
      </c>
      <c r="D37" s="198"/>
      <c r="E37" s="62"/>
      <c r="F37" s="233" t="s">
        <v>49</v>
      </c>
      <c r="G37" s="174"/>
      <c r="H37" s="242"/>
      <c r="I37" s="220"/>
      <c r="J37" s="243" t="s">
        <v>4</v>
      </c>
      <c r="K37" s="244" t="s">
        <v>7</v>
      </c>
      <c r="L37" s="244">
        <f>IF(Scale="",0,(VLOOKUP(Scale,hbx,2,FALSE)))</f>
        <v>0</v>
      </c>
      <c r="M37" s="244" t="s">
        <v>67</v>
      </c>
      <c r="N37" s="245" t="s">
        <v>2</v>
      </c>
      <c r="O37" s="212"/>
      <c r="P37" s="246"/>
      <c r="Q37" s="247" t="s">
        <v>4</v>
      </c>
      <c r="R37" s="247" t="s">
        <v>7</v>
      </c>
      <c r="S37" s="248">
        <f>IF(Scale="",0,(VLOOKUP(Scale,hbx,2,FALSE)))</f>
        <v>0</v>
      </c>
      <c r="T37" s="236" t="s">
        <v>67</v>
      </c>
      <c r="U37" s="249" t="s">
        <v>2</v>
      </c>
      <c r="V37" s="212"/>
      <c r="X37" s="42"/>
      <c r="Y37" s="23"/>
      <c r="Z37" s="374"/>
      <c r="AA37" s="374"/>
      <c r="AB37" s="105"/>
    </row>
    <row r="38" spans="1:28" ht="16.5" customHeight="1">
      <c r="A38" s="250"/>
      <c r="B38" s="220"/>
      <c r="C38" s="198" t="s">
        <v>52</v>
      </c>
      <c r="D38" s="198"/>
      <c r="E38" s="63"/>
      <c r="F38" s="233" t="s">
        <v>49</v>
      </c>
      <c r="G38" s="174"/>
      <c r="H38" s="242"/>
      <c r="I38" s="220"/>
      <c r="J38" s="251">
        <f>IF(Instructor="",0,VLOOKUP(Instructor,Instr_Range,2))</f>
        <v>0</v>
      </c>
      <c r="K38" s="252">
        <f>SUM(Instr_Tot_HST)</f>
        <v>0</v>
      </c>
      <c r="L38" s="252">
        <f>IF(Scale&gt;=4,SUM(Instr_Tot_HSR),0)</f>
        <v>0</v>
      </c>
      <c r="M38" s="252">
        <f>IF(Instructor="","",((N38-(Instr_base+SUM(Instr_Tot_HST)+SUM(Instr_Tot_HSR)))))</f>
      </c>
      <c r="N38" s="253">
        <f>IF(Instructor="","",$E$31)</f>
      </c>
      <c r="O38" s="212"/>
      <c r="P38" s="254"/>
      <c r="Q38" s="93"/>
      <c r="R38" s="93"/>
      <c r="S38" s="93"/>
      <c r="T38" s="93"/>
      <c r="U38" s="558">
        <f>SUM(Q38:T38)</f>
        <v>0</v>
      </c>
      <c r="V38" s="212"/>
      <c r="X38" s="42"/>
      <c r="Y38" s="23"/>
      <c r="Z38" s="374"/>
      <c r="AA38" s="374"/>
      <c r="AB38" s="105"/>
    </row>
    <row r="39" spans="1:28" ht="20.25" customHeight="1">
      <c r="A39" s="180"/>
      <c r="B39" s="174"/>
      <c r="C39" s="198" t="s">
        <v>45</v>
      </c>
      <c r="D39" s="198"/>
      <c r="E39" s="63"/>
      <c r="F39" s="242"/>
      <c r="G39" s="242"/>
      <c r="H39" s="242"/>
      <c r="I39" s="220"/>
      <c r="J39" s="255">
        <f>IF(Assistant="",0,VLOOKUP(Assistant,Asst_Prof,2))</f>
        <v>0</v>
      </c>
      <c r="K39" s="252">
        <f>SUM(Asst_Tot_HST)</f>
        <v>196800</v>
      </c>
      <c r="L39" s="252">
        <f>IF(Scale&gt;=4,SUM(Asst_Tot_HSR),0)</f>
        <v>0</v>
      </c>
      <c r="M39" s="252">
        <f>IF(Assistant="","",((N39-(Asst_Base+SUM(Asst_Tot_HST)+SUM(Asst_Tot_HSR)))))</f>
      </c>
      <c r="N39" s="253">
        <f>IF(Assistant="","",$E$31)</f>
      </c>
      <c r="O39" s="196"/>
      <c r="P39" s="254"/>
      <c r="Q39" s="95"/>
      <c r="R39" s="94"/>
      <c r="S39" s="94"/>
      <c r="T39" s="94"/>
      <c r="U39" s="558">
        <f>SUM(Q39:T39)</f>
        <v>0</v>
      </c>
      <c r="V39" s="196"/>
      <c r="X39" s="42"/>
      <c r="Y39" s="23"/>
      <c r="Z39" s="374"/>
      <c r="AA39" s="374"/>
      <c r="AB39" s="105"/>
    </row>
    <row r="40" spans="1:28" ht="16.5" customHeight="1">
      <c r="A40" s="180"/>
      <c r="B40" s="174"/>
      <c r="C40" s="198" t="s">
        <v>46</v>
      </c>
      <c r="D40" s="198"/>
      <c r="E40" s="63"/>
      <c r="F40" s="242"/>
      <c r="G40" s="242"/>
      <c r="H40" s="242"/>
      <c r="I40" s="220"/>
      <c r="J40" s="255">
        <f>IF(Associate="",0,VLOOKUP(Associate,Assoc_Prof,2))</f>
        <v>0</v>
      </c>
      <c r="K40" s="252">
        <f>SUM(Assoc_Tot_HST)</f>
        <v>202300</v>
      </c>
      <c r="L40" s="252">
        <f>IF(Scale&gt;=4,SUM(Assoc_Tot_HSR),0)</f>
        <v>0</v>
      </c>
      <c r="M40" s="252">
        <f>IF(Associate="","",(N40-(Assoc_Base+SUM(Assoc_Tot_HST)+SUM(Assoc_Tot_HSR))))</f>
      </c>
      <c r="N40" s="253">
        <f>IF(Associate="","",$E$31)</f>
      </c>
      <c r="O40" s="196"/>
      <c r="P40" s="256"/>
      <c r="Q40" s="257">
        <v>0</v>
      </c>
      <c r="R40" s="258">
        <v>0</v>
      </c>
      <c r="S40" s="258">
        <v>0</v>
      </c>
      <c r="T40" s="259"/>
      <c r="U40" s="260"/>
      <c r="V40" s="196"/>
      <c r="X40" s="42"/>
      <c r="Y40" s="23"/>
      <c r="Z40" s="374"/>
      <c r="AA40" s="374"/>
      <c r="AB40" s="105"/>
    </row>
    <row r="41" spans="1:28" ht="16.5" customHeight="1" thickBot="1">
      <c r="A41" s="214"/>
      <c r="B41" s="215"/>
      <c r="C41" s="261" t="s">
        <v>47</v>
      </c>
      <c r="D41" s="261"/>
      <c r="E41" s="64"/>
      <c r="F41" s="262"/>
      <c r="G41" s="262"/>
      <c r="H41" s="262"/>
      <c r="I41" s="263"/>
      <c r="J41" s="264">
        <f>IF(Prof="",0,VLOOKUP(Prof,professor,2))</f>
        <v>0</v>
      </c>
      <c r="K41" s="265">
        <f>SUM(Prof_Tot_HST)</f>
        <v>45</v>
      </c>
      <c r="L41" s="265">
        <f>IF(Scale&gt;=4,SUM(Prof_Tot_HSR),0)</f>
        <v>0</v>
      </c>
      <c r="M41" s="266">
        <f>IF(Prof="","",(N41-(Prof_Base+SUM(Prof_Tot_HST)+SUM(Prof_Tot_HSR))))</f>
      </c>
      <c r="N41" s="253">
        <f>IF(Prof="","",$E$31)</f>
      </c>
      <c r="O41" s="200"/>
      <c r="P41" s="268"/>
      <c r="Q41" s="269">
        <v>0</v>
      </c>
      <c r="R41" s="270">
        <v>0</v>
      </c>
      <c r="S41" s="270">
        <v>0</v>
      </c>
      <c r="T41" s="271"/>
      <c r="U41" s="272"/>
      <c r="V41" s="200"/>
      <c r="X41" s="17"/>
      <c r="Y41" s="112"/>
      <c r="Z41" s="106"/>
      <c r="AA41" s="106"/>
      <c r="AB41" s="106"/>
    </row>
    <row r="42" spans="1:28" ht="13.5" thickTop="1">
      <c r="A42" s="180"/>
      <c r="B42" s="174"/>
      <c r="C42" s="174"/>
      <c r="D42" s="174"/>
      <c r="E42" s="174"/>
      <c r="F42" s="174"/>
      <c r="G42" s="184"/>
      <c r="H42" s="185"/>
      <c r="I42" s="273" t="s">
        <v>166</v>
      </c>
      <c r="J42" s="274">
        <f>SUM(J38:J41)*$E$36</f>
        <v>0</v>
      </c>
      <c r="K42" s="274">
        <f>SUM(K38:K41)*$E$36</f>
        <v>0</v>
      </c>
      <c r="L42" s="274">
        <f>SUM(L38:L41)*$E$36</f>
        <v>0</v>
      </c>
      <c r="M42" s="274">
        <f>SUM(M38:M41)*$E$36</f>
        <v>0</v>
      </c>
      <c r="N42" s="274">
        <f>SUM(N38:N41)*$E$36</f>
        <v>0</v>
      </c>
      <c r="O42" s="196"/>
      <c r="P42" s="199" t="s">
        <v>5</v>
      </c>
      <c r="Q42" s="275">
        <f>SUM(Q38:Q41)</f>
        <v>0</v>
      </c>
      <c r="R42" s="275">
        <f>SUM(R38:R41)</f>
        <v>0</v>
      </c>
      <c r="S42" s="275">
        <f>SUM(S38:S41)</f>
        <v>0</v>
      </c>
      <c r="T42" s="275">
        <f>SUM(T38:T41)</f>
        <v>0</v>
      </c>
      <c r="U42" s="276">
        <f>SUM(U38:U41)</f>
        <v>0</v>
      </c>
      <c r="V42" s="196"/>
      <c r="Y42" s="105"/>
      <c r="Z42" s="105"/>
      <c r="AA42" s="105"/>
      <c r="AB42" s="106"/>
    </row>
    <row r="43" spans="1:28" ht="12.75">
      <c r="A43" s="180"/>
      <c r="B43" s="277"/>
      <c r="C43" s="174"/>
      <c r="D43" s="174"/>
      <c r="E43" s="174"/>
      <c r="F43" s="174"/>
      <c r="G43" s="184"/>
      <c r="H43" s="185"/>
      <c r="I43" s="273" t="s">
        <v>167</v>
      </c>
      <c r="J43" s="278">
        <f>(J42/12)</f>
        <v>0</v>
      </c>
      <c r="K43" s="278">
        <f>(K42/12)</f>
        <v>0</v>
      </c>
      <c r="L43" s="278">
        <f>(L42/12)</f>
        <v>0</v>
      </c>
      <c r="M43" s="278">
        <f>(M42/12)</f>
        <v>0</v>
      </c>
      <c r="N43" s="278">
        <f>(N42/12)</f>
        <v>0</v>
      </c>
      <c r="O43" s="279"/>
      <c r="P43" s="279"/>
      <c r="Q43" s="279"/>
      <c r="R43" s="279"/>
      <c r="S43" s="279"/>
      <c r="T43" s="279"/>
      <c r="U43" s="280"/>
      <c r="V43" s="279"/>
      <c r="Y43" s="105"/>
      <c r="Z43" s="105"/>
      <c r="AA43" s="105"/>
      <c r="AB43" s="106"/>
    </row>
    <row r="44" spans="1:29" ht="13.5" thickBot="1">
      <c r="A44" s="281" t="s">
        <v>49</v>
      </c>
      <c r="B44" s="174"/>
      <c r="C44" s="174"/>
      <c r="D44" s="174"/>
      <c r="E44" s="174"/>
      <c r="F44" s="174"/>
      <c r="G44" s="282"/>
      <c r="H44" s="174"/>
      <c r="I44" s="663" t="s">
        <v>59</v>
      </c>
      <c r="J44" s="662">
        <f>ROUND(IF(N42&gt;0,J42/N42*E36,0),4)</f>
        <v>0</v>
      </c>
      <c r="K44" s="662">
        <f>ROUND(IF(N42&gt;0,K42/N42*E36,0),4)</f>
        <v>0</v>
      </c>
      <c r="L44" s="662">
        <f>ROUND(IF(N42&gt;0,L42/N42*E36,0),4)</f>
        <v>0</v>
      </c>
      <c r="M44" s="662">
        <f>SUM(N44-L44-K44-J44)</f>
        <v>0</v>
      </c>
      <c r="N44" s="662">
        <f>E36</f>
        <v>0</v>
      </c>
      <c r="O44" s="174"/>
      <c r="P44" s="183" t="s">
        <v>49</v>
      </c>
      <c r="Q44" s="285"/>
      <c r="R44" s="285"/>
      <c r="S44" s="285"/>
      <c r="T44" s="285"/>
      <c r="U44" s="286"/>
      <c r="V44" s="287"/>
      <c r="AC44" s="105"/>
    </row>
    <row r="45" spans="1:28" ht="13.5" thickBot="1">
      <c r="A45" s="288" t="s">
        <v>163</v>
      </c>
      <c r="B45" s="289"/>
      <c r="C45" s="290"/>
      <c r="D45" s="291"/>
      <c r="E45" s="292"/>
      <c r="F45" s="293"/>
      <c r="G45" s="293"/>
      <c r="H45" s="293"/>
      <c r="I45" s="294"/>
      <c r="J45" s="291" t="s">
        <v>3</v>
      </c>
      <c r="K45" s="293"/>
      <c r="L45" s="293"/>
      <c r="M45" s="294"/>
      <c r="N45" s="295"/>
      <c r="O45" s="174"/>
      <c r="P45" s="878" t="s">
        <v>135</v>
      </c>
      <c r="Q45" s="879"/>
      <c r="R45" s="879"/>
      <c r="S45" s="879"/>
      <c r="T45" s="880"/>
      <c r="U45" s="578"/>
      <c r="V45" s="239"/>
      <c r="W45" s="31" t="s">
        <v>23</v>
      </c>
      <c r="X45" s="40" t="s">
        <v>23</v>
      </c>
      <c r="Y45" s="40"/>
      <c r="Z45" s="40"/>
      <c r="AA45" s="40"/>
      <c r="AB45" s="40"/>
    </row>
    <row r="46" spans="1:28" ht="65.25" customHeight="1" thickBot="1">
      <c r="A46" s="298" t="s">
        <v>28</v>
      </c>
      <c r="B46" s="299" t="s">
        <v>31</v>
      </c>
      <c r="C46" s="300" t="s">
        <v>115</v>
      </c>
      <c r="D46" s="300" t="s">
        <v>83</v>
      </c>
      <c r="E46" s="300" t="s">
        <v>168</v>
      </c>
      <c r="F46" s="302" t="s">
        <v>169</v>
      </c>
      <c r="G46" s="302" t="s">
        <v>54</v>
      </c>
      <c r="H46" s="302" t="s">
        <v>53</v>
      </c>
      <c r="I46" s="303" t="s">
        <v>30</v>
      </c>
      <c r="J46" s="304" t="s">
        <v>4</v>
      </c>
      <c r="K46" s="305" t="s">
        <v>7</v>
      </c>
      <c r="L46" s="244">
        <f>IF(Scale="",0,(VLOOKUP(Scale,hbx,2,FALSE)))</f>
        <v>0</v>
      </c>
      <c r="M46" s="306" t="s">
        <v>67</v>
      </c>
      <c r="N46" s="307" t="s">
        <v>5</v>
      </c>
      <c r="O46" s="297" t="s">
        <v>23</v>
      </c>
      <c r="P46" s="569" t="s">
        <v>4</v>
      </c>
      <c r="Q46" s="528" t="s">
        <v>7</v>
      </c>
      <c r="R46" s="514">
        <f>IF(Scale="",0,(VLOOKUP(Scale,hbx,2,FALSE)))</f>
        <v>0</v>
      </c>
      <c r="S46" s="570" t="s">
        <v>67</v>
      </c>
      <c r="T46" s="577" t="s">
        <v>2</v>
      </c>
      <c r="U46" s="579"/>
      <c r="V46" s="297"/>
      <c r="Y46" s="40"/>
      <c r="Z46" s="40"/>
      <c r="AA46" s="40"/>
      <c r="AB46" s="40"/>
    </row>
    <row r="47" spans="1:23" ht="2.25" customHeight="1" thickBot="1">
      <c r="A47" s="312"/>
      <c r="B47" s="313"/>
      <c r="C47" s="174"/>
      <c r="D47" s="174"/>
      <c r="E47" s="174"/>
      <c r="F47" s="174"/>
      <c r="G47" s="174"/>
      <c r="H47" s="174"/>
      <c r="I47" s="314"/>
      <c r="J47" s="315"/>
      <c r="K47" s="316"/>
      <c r="L47" s="316"/>
      <c r="M47" s="316"/>
      <c r="N47" s="220"/>
      <c r="O47" s="220"/>
      <c r="P47" s="317"/>
      <c r="Q47" s="317"/>
      <c r="R47" s="317"/>
      <c r="S47" s="317"/>
      <c r="T47" s="571"/>
      <c r="U47" s="319"/>
      <c r="V47" s="220"/>
      <c r="W47" s="27"/>
    </row>
    <row r="48" spans="1:28" ht="17.25" customHeight="1">
      <c r="A48" s="659"/>
      <c r="B48" s="655"/>
      <c r="C48" s="58"/>
      <c r="D48" s="320"/>
      <c r="E48" s="71"/>
      <c r="F48" s="59"/>
      <c r="G48" s="322">
        <f>IF($E85=2,SUMIF(month_source,2,$U$85:$U$86),IF(E85=3,SUMIF(month_source,3,$U$85:$U$86),IF(E85=4,F48*month_total,"")))</f>
      </c>
      <c r="H48" s="323">
        <f aca="true" t="shared" si="1" ref="H48:H56">IF(A48="",(IF(OR(E85=2,E85=3),G48-(pct_xtrmrl*G48),IF(E85=4,F48*month_total,""))),IF((VLOOKUP(A48,limits,4,FALSE)*$F48*time_on)&lt;G48,(VLOOKUP(A48,limits,4,FALSE)*$F48*time_on),IF(OR(E85=2,E85=3),G48-(pct_xtrmrl*G48),IF(E85=4,F48*month_total,""))))</f>
      </c>
      <c r="I48" s="607">
        <f aca="true" t="shared" si="2" ref="I48:I56">IF(H48="","",H48/month_total)</f>
      </c>
      <c r="J48" s="325">
        <f>IF($A48="",IF(J85="","",IF(fundtype1=4,J85,J85-(pct_xtrmrl*J85))),$H48*J$43)</f>
      </c>
      <c r="K48" s="325">
        <f>IF($A48="",IF(K85="","",IF(fundtype1=4,K85,K85-(pct_xtrmrl*K85))),$H48*K$43)</f>
      </c>
      <c r="L48" s="325">
        <f>IF($A48="",IF(L85="","",IF(fundtype1=4,L85,L85-(pct_xtrmrl*L85))),$H48*L$43)</f>
      </c>
      <c r="M48" s="325">
        <f>IF($A48="",IF(M85="","",IF(fundtype1=4,M85,M85-(pct_xtrmrl*M85))),$H48*M$43)</f>
      </c>
      <c r="N48" s="567">
        <f aca="true" t="shared" si="3" ref="N48:N56">SUM(J48:M48)</f>
        <v>0</v>
      </c>
      <c r="O48" s="326"/>
      <c r="P48" s="257">
        <f aca="true" t="shared" si="4" ref="P48:P56">IF(OR(OverCAP="No",$A48=""),0,ROUND(($F48*(J$43))-(J48),2))</f>
        <v>0</v>
      </c>
      <c r="Q48" s="257">
        <f aca="true" t="shared" si="5" ref="Q48:Q56">IF(OR(OverCAP="No",$A48=""),0,ROUND(($F48*(K$43))-(K48),2))</f>
        <v>0</v>
      </c>
      <c r="R48" s="257">
        <f aca="true" t="shared" si="6" ref="R48:R56">IF(OR(OverCAP="No",$A48=""),0,ROUND(($F48*(L$43))-(L48),2))</f>
        <v>0</v>
      </c>
      <c r="S48" s="257">
        <f aca="true" t="shared" si="7" ref="S48:S56">IF(OR(OverCAP="No",$A48=""),0,ROUND(($F48*(M$43))-(M48),2))</f>
        <v>0</v>
      </c>
      <c r="T48" s="572">
        <f aca="true" t="shared" si="8" ref="T48:T56">IF(OR(OverCAP="No",$A48=""),0,($F48*(N$43))-(N48))</f>
        <v>0</v>
      </c>
      <c r="U48" s="328"/>
      <c r="V48" s="329"/>
      <c r="W48" s="27"/>
      <c r="Y48" s="113"/>
      <c r="Z48" s="23"/>
      <c r="AA48" s="113"/>
      <c r="AB48" s="23"/>
    </row>
    <row r="49" spans="1:28" ht="17.25" customHeight="1">
      <c r="A49" s="659"/>
      <c r="B49" s="655"/>
      <c r="C49" s="58"/>
      <c r="D49" s="320"/>
      <c r="E49" s="71"/>
      <c r="F49" s="59"/>
      <c r="G49" s="322">
        <f aca="true" t="shared" si="9" ref="G49:G56">IF(E86=2,SUMIF(month_source,2,$U$85:$U$86),IF(E86=3,SUMIF(month_source,3,$U$85:$U$86),IF(E86=4,F49*month_total,"")))</f>
      </c>
      <c r="H49" s="323">
        <f t="shared" si="1"/>
      </c>
      <c r="I49" s="607">
        <f t="shared" si="2"/>
      </c>
      <c r="J49" s="325">
        <f>IF($A49="",IF(J86="","",IF(fundtype2=4,J86,J86-(pct_xtrmrl*J86))),$I49*J$43)</f>
      </c>
      <c r="K49" s="325">
        <f>IF($A49="",IF(K86="","",IF(fundtype2=4,K86,K86-(pct_xtrmrl*K86))),$I49*K$43)</f>
      </c>
      <c r="L49" s="325">
        <f>IF($A49="",IF(L86="","",IF(fundtype2=4,L86,L86-(pct_xtrmrl*L86))),$I49*L$43)</f>
      </c>
      <c r="M49" s="325">
        <f>IF($A49="",IF(M86="","",IF(fundtype2=4,M86,M86-(pct_xtrmrl*M86))),$I49*M$43)</f>
      </c>
      <c r="N49" s="568">
        <f t="shared" si="3"/>
        <v>0</v>
      </c>
      <c r="O49" s="326"/>
      <c r="P49" s="257">
        <f t="shared" si="4"/>
        <v>0</v>
      </c>
      <c r="Q49" s="257">
        <f t="shared" si="5"/>
        <v>0</v>
      </c>
      <c r="R49" s="257">
        <f t="shared" si="6"/>
        <v>0</v>
      </c>
      <c r="S49" s="257">
        <f t="shared" si="7"/>
        <v>0</v>
      </c>
      <c r="T49" s="573">
        <f t="shared" si="8"/>
        <v>0</v>
      </c>
      <c r="U49" s="328"/>
      <c r="V49" s="329"/>
      <c r="W49" s="27"/>
      <c r="Y49" s="113"/>
      <c r="Z49" s="23"/>
      <c r="AA49" s="113"/>
      <c r="AB49" s="23"/>
    </row>
    <row r="50" spans="1:28" ht="17.25" customHeight="1">
      <c r="A50" s="660"/>
      <c r="B50" s="655"/>
      <c r="C50" s="58"/>
      <c r="D50" s="320"/>
      <c r="E50" s="71"/>
      <c r="F50" s="59"/>
      <c r="G50" s="322">
        <f t="shared" si="9"/>
      </c>
      <c r="H50" s="323">
        <f t="shared" si="1"/>
      </c>
      <c r="I50" s="607">
        <f t="shared" si="2"/>
      </c>
      <c r="J50" s="325">
        <f>IF($A50="",IF(J87="","",IF(fundtype3=4,J87,J87-(pct_xtrmrl*J87))),$I50*J$43)</f>
      </c>
      <c r="K50" s="325">
        <f>IF($A50="",IF(K87="","",IF(fundtype3=4,K87,K87-(pct_xtrmrl*K87))),$I50*K$43)</f>
      </c>
      <c r="L50" s="325">
        <f>IF($A50="",IF(L87="","",IF(fundtype3=4,L87,L87-(pct_xtrmrl*L87))),$I50*L$43)</f>
      </c>
      <c r="M50" s="325">
        <f>IF($A50="",IF(M87="","",IF(fundtype3=4,M87,M87-(pct_xtrmrl*M87))),$I50*M$43)</f>
      </c>
      <c r="N50" s="568">
        <f t="shared" si="3"/>
        <v>0</v>
      </c>
      <c r="O50" s="326"/>
      <c r="P50" s="257">
        <f t="shared" si="4"/>
        <v>0</v>
      </c>
      <c r="Q50" s="257">
        <f t="shared" si="5"/>
        <v>0</v>
      </c>
      <c r="R50" s="257">
        <f t="shared" si="6"/>
        <v>0</v>
      </c>
      <c r="S50" s="257">
        <f t="shared" si="7"/>
        <v>0</v>
      </c>
      <c r="T50" s="573">
        <f t="shared" si="8"/>
        <v>0</v>
      </c>
      <c r="U50" s="328"/>
      <c r="V50" s="329"/>
      <c r="W50" s="27"/>
      <c r="Y50" s="113"/>
      <c r="Z50" s="23"/>
      <c r="AA50" s="113"/>
      <c r="AB50" s="23"/>
    </row>
    <row r="51" spans="1:28" ht="17.25" customHeight="1">
      <c r="A51" s="659"/>
      <c r="B51" s="655"/>
      <c r="C51" s="58"/>
      <c r="D51" s="320"/>
      <c r="E51" s="71"/>
      <c r="F51" s="59"/>
      <c r="G51" s="322">
        <f t="shared" si="9"/>
      </c>
      <c r="H51" s="323">
        <f t="shared" si="1"/>
      </c>
      <c r="I51" s="607">
        <f t="shared" si="2"/>
      </c>
      <c r="J51" s="325">
        <f>IF($A51="",IF(J88="","",IF(fundtype4=4,J88,J88-(pct_xtrmrl*J88))),$I51*J$43)</f>
      </c>
      <c r="K51" s="325">
        <f>IF($A51="",IF(K88="","",IF(fundtype4=4,K88,K88-(pct_xtrmrl*K88))),$I51*K$43)</f>
      </c>
      <c r="L51" s="325">
        <f>IF($A51="",IF(L88="","",IF(fundtype4=4,L88,L88-(pct_xtrmrl*L88))),$I51*L$43)</f>
      </c>
      <c r="M51" s="325">
        <f>IF($A51="",IF(M88="","",IF(fundtype4=4,M88,M88-(pct_xtrmrl*M88))),$I51*M$43)</f>
      </c>
      <c r="N51" s="568">
        <f t="shared" si="3"/>
        <v>0</v>
      </c>
      <c r="O51" s="326"/>
      <c r="P51" s="257">
        <f t="shared" si="4"/>
        <v>0</v>
      </c>
      <c r="Q51" s="257">
        <f t="shared" si="5"/>
        <v>0</v>
      </c>
      <c r="R51" s="257">
        <f t="shared" si="6"/>
        <v>0</v>
      </c>
      <c r="S51" s="257">
        <f t="shared" si="7"/>
        <v>0</v>
      </c>
      <c r="T51" s="573">
        <f t="shared" si="8"/>
        <v>0</v>
      </c>
      <c r="U51" s="328"/>
      <c r="V51" s="329"/>
      <c r="W51" s="27"/>
      <c r="Y51" s="113"/>
      <c r="Z51" s="23"/>
      <c r="AA51" s="113"/>
      <c r="AB51" s="23"/>
    </row>
    <row r="52" spans="1:28" ht="17.25" customHeight="1">
      <c r="A52" s="659"/>
      <c r="B52" s="655"/>
      <c r="C52" s="58"/>
      <c r="D52" s="320"/>
      <c r="E52" s="71"/>
      <c r="F52" s="59"/>
      <c r="G52" s="322">
        <f t="shared" si="9"/>
      </c>
      <c r="H52" s="323">
        <f t="shared" si="1"/>
      </c>
      <c r="I52" s="607">
        <f t="shared" si="2"/>
      </c>
      <c r="J52" s="325">
        <f>IF($A52="",IF(J89="","",IF(fundtype5=4,J89,J89-(pct_xtrmrl*J89))),$I52*J$43)</f>
      </c>
      <c r="K52" s="325">
        <f>IF($A52="",IF(K89="","",IF(fundtype5=4,K89,K89-(pct_xtrmrl*K89))),$I52*K$43)</f>
      </c>
      <c r="L52" s="325">
        <f>IF($A52="",IF(L89="","",IF(fundtype5=4,L89,L89-(pct_xtrmrl*L89))),$I52*L$43)</f>
      </c>
      <c r="M52" s="325">
        <f>IF($A52="",IF(M89="","",IF(fundtype5=4,M89,M89-(pct_xtrmrl*M89))),$I52*M$43)</f>
      </c>
      <c r="N52" s="568">
        <f t="shared" si="3"/>
        <v>0</v>
      </c>
      <c r="O52" s="326"/>
      <c r="P52" s="257">
        <f t="shared" si="4"/>
        <v>0</v>
      </c>
      <c r="Q52" s="257">
        <f t="shared" si="5"/>
        <v>0</v>
      </c>
      <c r="R52" s="257">
        <f t="shared" si="6"/>
        <v>0</v>
      </c>
      <c r="S52" s="257">
        <f t="shared" si="7"/>
        <v>0</v>
      </c>
      <c r="T52" s="573">
        <f t="shared" si="8"/>
        <v>0</v>
      </c>
      <c r="U52" s="328"/>
      <c r="V52" s="329"/>
      <c r="W52" s="27"/>
      <c r="Y52" s="113"/>
      <c r="Z52" s="23"/>
      <c r="AA52" s="113"/>
      <c r="AB52" s="23"/>
    </row>
    <row r="53" spans="1:28" ht="17.25" customHeight="1">
      <c r="A53" s="660"/>
      <c r="B53" s="655"/>
      <c r="C53" s="58"/>
      <c r="D53" s="320"/>
      <c r="E53" s="71"/>
      <c r="F53" s="59"/>
      <c r="G53" s="322">
        <f t="shared" si="9"/>
      </c>
      <c r="H53" s="323">
        <f t="shared" si="1"/>
      </c>
      <c r="I53" s="607">
        <f t="shared" si="2"/>
      </c>
      <c r="J53" s="325">
        <f>IF($A53="",IF(J90="","",IF(fundtype6=4,J90,J90-(pct_xtrmrl*J90))),$I53*J$43)</f>
      </c>
      <c r="K53" s="325">
        <f>IF($A53="",IF(K90="","",IF(fundtype6=4,K90,K90-(pct_xtrmrl*K90))),$I53*K$43)</f>
      </c>
      <c r="L53" s="325">
        <f>IF($A53="",IF(L90="","",IF(fundtype6=4,L90,L90-(pct_xtrmrl*L90))),$I53*L$43)</f>
      </c>
      <c r="M53" s="325">
        <f>IF($A53="",IF(M90="","",IF(fundtype6=4,M90,M90-(pct_xtrmrl*M90))),$I53*M$43)</f>
      </c>
      <c r="N53" s="568">
        <f t="shared" si="3"/>
        <v>0</v>
      </c>
      <c r="O53" s="326"/>
      <c r="P53" s="257">
        <f t="shared" si="4"/>
        <v>0</v>
      </c>
      <c r="Q53" s="257">
        <f t="shared" si="5"/>
        <v>0</v>
      </c>
      <c r="R53" s="257">
        <f t="shared" si="6"/>
        <v>0</v>
      </c>
      <c r="S53" s="257">
        <f t="shared" si="7"/>
        <v>0</v>
      </c>
      <c r="T53" s="573">
        <f t="shared" si="8"/>
        <v>0</v>
      </c>
      <c r="U53" s="328"/>
      <c r="V53" s="329"/>
      <c r="W53" s="27"/>
      <c r="Y53" s="113"/>
      <c r="Z53" s="23"/>
      <c r="AA53" s="113"/>
      <c r="AB53" s="23"/>
    </row>
    <row r="54" spans="1:28" ht="17.25" customHeight="1">
      <c r="A54" s="659"/>
      <c r="B54" s="655"/>
      <c r="C54" s="58"/>
      <c r="D54" s="320"/>
      <c r="E54" s="71"/>
      <c r="F54" s="59"/>
      <c r="G54" s="322">
        <f t="shared" si="9"/>
      </c>
      <c r="H54" s="323">
        <f t="shared" si="1"/>
      </c>
      <c r="I54" s="607">
        <f t="shared" si="2"/>
      </c>
      <c r="J54" s="325">
        <f>IF($A54="",IF(J91="","",IF(fundtype7=4,J91,J91-(pct_xtrmrl*J91))),$I54*J$43)</f>
      </c>
      <c r="K54" s="325">
        <f>IF($A54="",IF(K91="","",IF(fundtype7=4,K91,K91-(pct_xtrmrl*K91))),$I54*K$43)</f>
      </c>
      <c r="L54" s="325">
        <f>IF($A54="",IF(L91="","",IF(fundtype7=4,L91,L91-(pct_xtrmrl*L91))),$I54*L$43)</f>
      </c>
      <c r="M54" s="325">
        <f>IF($A54="",IF(M91="","",IF(fundtype7=4,M91,M91-(pct_xtrmrl*M91))),$I54*M$43)</f>
      </c>
      <c r="N54" s="568">
        <f t="shared" si="3"/>
        <v>0</v>
      </c>
      <c r="O54" s="326"/>
      <c r="P54" s="257">
        <f t="shared" si="4"/>
        <v>0</v>
      </c>
      <c r="Q54" s="257">
        <f t="shared" si="5"/>
        <v>0</v>
      </c>
      <c r="R54" s="257">
        <f t="shared" si="6"/>
        <v>0</v>
      </c>
      <c r="S54" s="257">
        <f t="shared" si="7"/>
        <v>0</v>
      </c>
      <c r="T54" s="573">
        <f t="shared" si="8"/>
        <v>0</v>
      </c>
      <c r="U54" s="328"/>
      <c r="V54" s="329"/>
      <c r="W54" s="27"/>
      <c r="Y54" s="113"/>
      <c r="Z54" s="23"/>
      <c r="AA54" s="113"/>
      <c r="AB54" s="23"/>
    </row>
    <row r="55" spans="1:28" ht="18" customHeight="1">
      <c r="A55" s="660"/>
      <c r="B55" s="655"/>
      <c r="C55" s="60"/>
      <c r="D55" s="320"/>
      <c r="E55" s="71"/>
      <c r="F55" s="59"/>
      <c r="G55" s="322">
        <f t="shared" si="9"/>
      </c>
      <c r="H55" s="323">
        <f t="shared" si="1"/>
      </c>
      <c r="I55" s="607">
        <f t="shared" si="2"/>
      </c>
      <c r="J55" s="325">
        <f>IF($A55="",IF(J92="","",IF(fundtype8=4,J92,J92-(pct_xtrmrl*J92))),$I55*J$43)</f>
      </c>
      <c r="K55" s="325">
        <f>IF($A55="",IF(K92="","",IF(fundtype8=4,K92,K92-(pct_xtrmrl*K92))),$I55*K$43)</f>
      </c>
      <c r="L55" s="325">
        <f>IF($A55="",IF(L92="","",IF(fundtype8=4,L92,L92-(pct_xtrmrl*L92))),$I55*L$43)</f>
      </c>
      <c r="M55" s="325">
        <f>IF($A55="",IF(M92="","",IF(fundtype8=4,M92,M92-(pct_xtrmrl*M92))),$I55*M$43)</f>
      </c>
      <c r="N55" s="568">
        <f t="shared" si="3"/>
        <v>0</v>
      </c>
      <c r="O55" s="326"/>
      <c r="P55" s="257">
        <f t="shared" si="4"/>
        <v>0</v>
      </c>
      <c r="Q55" s="257">
        <f t="shared" si="5"/>
        <v>0</v>
      </c>
      <c r="R55" s="257">
        <f t="shared" si="6"/>
        <v>0</v>
      </c>
      <c r="S55" s="257">
        <f t="shared" si="7"/>
        <v>0</v>
      </c>
      <c r="T55" s="573">
        <f t="shared" si="8"/>
        <v>0</v>
      </c>
      <c r="U55" s="328"/>
      <c r="V55" s="329"/>
      <c r="W55" s="27"/>
      <c r="Y55" s="113"/>
      <c r="Z55" s="23"/>
      <c r="AA55" s="113"/>
      <c r="AB55" s="23"/>
    </row>
    <row r="56" spans="1:28" ht="17.25" customHeight="1">
      <c r="A56" s="660"/>
      <c r="B56" s="655"/>
      <c r="C56" s="60"/>
      <c r="D56" s="320"/>
      <c r="E56" s="72"/>
      <c r="F56" s="59"/>
      <c r="G56" s="332">
        <f t="shared" si="9"/>
      </c>
      <c r="H56" s="323">
        <f t="shared" si="1"/>
      </c>
      <c r="I56" s="607">
        <f t="shared" si="2"/>
      </c>
      <c r="J56" s="325">
        <f>IF($A56="",IF(J93="","",IF(fundtype9=4,J93,J93-(pct_xtrmrl*J93))),$I56*J$43)</f>
      </c>
      <c r="K56" s="325">
        <f>IF($A56="",IF(K93="","",IF(fundtype9=4,K93,K93-(pct_xtrmrl*K93))),$I56*K$43)</f>
      </c>
      <c r="L56" s="325">
        <f>IF($A56="",IF(L93="","",IF(fundtype9=4,L93,L93-(pct_xtrmrl*L93))),$I56*L$43)</f>
      </c>
      <c r="M56" s="325">
        <f>IF($A56="",IF(M93="","",IF(fundtype9=4,M93,M93-(pct_xtrmrl*M93))),$I56*M$43)</f>
      </c>
      <c r="N56" s="568">
        <f t="shared" si="3"/>
        <v>0</v>
      </c>
      <c r="O56" s="326"/>
      <c r="P56" s="257">
        <f t="shared" si="4"/>
        <v>0</v>
      </c>
      <c r="Q56" s="257">
        <f t="shared" si="5"/>
        <v>0</v>
      </c>
      <c r="R56" s="257">
        <f t="shared" si="6"/>
        <v>0</v>
      </c>
      <c r="S56" s="257">
        <f t="shared" si="7"/>
        <v>0</v>
      </c>
      <c r="T56" s="573">
        <f t="shared" si="8"/>
        <v>0</v>
      </c>
      <c r="U56" s="328"/>
      <c r="V56" s="329"/>
      <c r="W56" s="27"/>
      <c r="Y56" s="113"/>
      <c r="Z56" s="23"/>
      <c r="AA56" s="113"/>
      <c r="AB56" s="23"/>
    </row>
    <row r="57" spans="1:28" ht="12.75" customHeight="1" hidden="1">
      <c r="A57" s="661"/>
      <c r="B57" s="658"/>
      <c r="C57" s="334"/>
      <c r="D57" s="334"/>
      <c r="E57" s="320"/>
      <c r="F57" s="321"/>
      <c r="G57" s="332"/>
      <c r="H57" s="333"/>
      <c r="I57" s="607"/>
      <c r="J57" s="335"/>
      <c r="K57" s="336"/>
      <c r="L57" s="336"/>
      <c r="M57" s="337"/>
      <c r="N57" s="330">
        <f aca="true" t="shared" si="10" ref="N57:N67">SUM(J57:M57)</f>
        <v>0</v>
      </c>
      <c r="O57" s="326"/>
      <c r="P57" s="257"/>
      <c r="Q57" s="258"/>
      <c r="R57" s="258"/>
      <c r="S57" s="258"/>
      <c r="T57" s="574"/>
      <c r="U57" s="328"/>
      <c r="V57" s="329"/>
      <c r="W57" s="27"/>
      <c r="Y57" s="113"/>
      <c r="Z57" s="23"/>
      <c r="AA57" s="113"/>
      <c r="AB57" s="23"/>
    </row>
    <row r="58" spans="1:28" ht="12.75" customHeight="1" hidden="1">
      <c r="A58" s="661"/>
      <c r="B58" s="658"/>
      <c r="C58" s="334"/>
      <c r="D58" s="334"/>
      <c r="E58" s="320"/>
      <c r="F58" s="321"/>
      <c r="G58" s="332"/>
      <c r="H58" s="333"/>
      <c r="I58" s="607"/>
      <c r="J58" s="335"/>
      <c r="K58" s="336"/>
      <c r="L58" s="336"/>
      <c r="M58" s="337"/>
      <c r="N58" s="330">
        <f t="shared" si="10"/>
        <v>0</v>
      </c>
      <c r="O58" s="326"/>
      <c r="P58" s="257"/>
      <c r="Q58" s="258"/>
      <c r="R58" s="258"/>
      <c r="S58" s="258"/>
      <c r="T58" s="574"/>
      <c r="U58" s="328"/>
      <c r="V58" s="329"/>
      <c r="W58" s="27"/>
      <c r="Y58" s="113"/>
      <c r="Z58" s="23"/>
      <c r="AA58" s="113"/>
      <c r="AB58" s="23"/>
    </row>
    <row r="59" spans="1:28" ht="12.75" customHeight="1" hidden="1">
      <c r="A59" s="661"/>
      <c r="B59" s="658"/>
      <c r="C59" s="334"/>
      <c r="D59" s="334"/>
      <c r="E59" s="320"/>
      <c r="F59" s="321"/>
      <c r="G59" s="332"/>
      <c r="H59" s="333"/>
      <c r="I59" s="607"/>
      <c r="J59" s="335"/>
      <c r="K59" s="336"/>
      <c r="L59" s="336"/>
      <c r="M59" s="337"/>
      <c r="N59" s="330">
        <f t="shared" si="10"/>
        <v>0</v>
      </c>
      <c r="O59" s="326"/>
      <c r="P59" s="257"/>
      <c r="Q59" s="258"/>
      <c r="R59" s="258"/>
      <c r="S59" s="258"/>
      <c r="T59" s="574"/>
      <c r="U59" s="328"/>
      <c r="V59" s="329"/>
      <c r="W59" s="27"/>
      <c r="Y59" s="113"/>
      <c r="Z59" s="23"/>
      <c r="AA59" s="113"/>
      <c r="AB59" s="23"/>
    </row>
    <row r="60" spans="1:28" ht="12.75" customHeight="1" hidden="1">
      <c r="A60" s="661"/>
      <c r="B60" s="658"/>
      <c r="C60" s="334"/>
      <c r="D60" s="334"/>
      <c r="E60" s="320"/>
      <c r="F60" s="321"/>
      <c r="G60" s="332"/>
      <c r="H60" s="333"/>
      <c r="I60" s="607"/>
      <c r="J60" s="335"/>
      <c r="K60" s="336"/>
      <c r="L60" s="336"/>
      <c r="M60" s="337"/>
      <c r="N60" s="330">
        <f t="shared" si="10"/>
        <v>0</v>
      </c>
      <c r="O60" s="326"/>
      <c r="P60" s="257"/>
      <c r="Q60" s="258"/>
      <c r="R60" s="258"/>
      <c r="S60" s="258"/>
      <c r="T60" s="574"/>
      <c r="U60" s="328"/>
      <c r="V60" s="329"/>
      <c r="W60" s="27"/>
      <c r="Y60" s="113"/>
      <c r="Z60" s="23"/>
      <c r="AA60" s="113"/>
      <c r="AB60" s="23"/>
    </row>
    <row r="61" spans="1:28" ht="12.75" customHeight="1" hidden="1">
      <c r="A61" s="661"/>
      <c r="B61" s="658"/>
      <c r="C61" s="334"/>
      <c r="D61" s="334"/>
      <c r="E61" s="320"/>
      <c r="F61" s="321"/>
      <c r="G61" s="332"/>
      <c r="H61" s="333"/>
      <c r="I61" s="607"/>
      <c r="J61" s="335"/>
      <c r="K61" s="336"/>
      <c r="L61" s="336"/>
      <c r="M61" s="337"/>
      <c r="N61" s="330">
        <f t="shared" si="10"/>
        <v>0</v>
      </c>
      <c r="O61" s="326"/>
      <c r="P61" s="257"/>
      <c r="Q61" s="258"/>
      <c r="R61" s="258"/>
      <c r="S61" s="258"/>
      <c r="T61" s="574"/>
      <c r="U61" s="328"/>
      <c r="V61" s="329"/>
      <c r="W61" s="27"/>
      <c r="Y61" s="113"/>
      <c r="Z61" s="23"/>
      <c r="AA61" s="113"/>
      <c r="AB61" s="23"/>
    </row>
    <row r="62" spans="1:28" ht="12.75" customHeight="1" hidden="1">
      <c r="A62" s="661"/>
      <c r="B62" s="658"/>
      <c r="C62" s="334"/>
      <c r="D62" s="334"/>
      <c r="E62" s="320"/>
      <c r="F62" s="321"/>
      <c r="G62" s="332"/>
      <c r="H62" s="333"/>
      <c r="I62" s="607"/>
      <c r="J62" s="335"/>
      <c r="K62" s="336"/>
      <c r="L62" s="336"/>
      <c r="M62" s="337"/>
      <c r="N62" s="330">
        <f t="shared" si="10"/>
        <v>0</v>
      </c>
      <c r="O62" s="326"/>
      <c r="P62" s="257"/>
      <c r="Q62" s="258"/>
      <c r="R62" s="258"/>
      <c r="S62" s="258"/>
      <c r="T62" s="574"/>
      <c r="U62" s="328"/>
      <c r="V62" s="329"/>
      <c r="W62" s="27"/>
      <c r="Y62" s="113"/>
      <c r="Z62" s="23"/>
      <c r="AA62" s="113"/>
      <c r="AB62" s="23"/>
    </row>
    <row r="63" spans="1:28" ht="12.75" customHeight="1" hidden="1">
      <c r="A63" s="661"/>
      <c r="B63" s="658"/>
      <c r="C63" s="334"/>
      <c r="D63" s="334"/>
      <c r="E63" s="320"/>
      <c r="F63" s="321"/>
      <c r="G63" s="332"/>
      <c r="H63" s="333"/>
      <c r="I63" s="607"/>
      <c r="J63" s="335"/>
      <c r="K63" s="336"/>
      <c r="L63" s="336"/>
      <c r="M63" s="337"/>
      <c r="N63" s="330">
        <f t="shared" si="10"/>
        <v>0</v>
      </c>
      <c r="O63" s="326"/>
      <c r="P63" s="257"/>
      <c r="Q63" s="258"/>
      <c r="R63" s="258"/>
      <c r="S63" s="258"/>
      <c r="T63" s="574"/>
      <c r="U63" s="328"/>
      <c r="V63" s="329"/>
      <c r="W63" s="27"/>
      <c r="Y63" s="113"/>
      <c r="Z63" s="23"/>
      <c r="AA63" s="113"/>
      <c r="AB63" s="23"/>
    </row>
    <row r="64" spans="1:28" ht="12.75" hidden="1">
      <c r="A64" s="661"/>
      <c r="B64" s="658"/>
      <c r="C64" s="334"/>
      <c r="D64" s="334"/>
      <c r="E64" s="320"/>
      <c r="F64" s="321"/>
      <c r="G64" s="332"/>
      <c r="H64" s="333"/>
      <c r="I64" s="607"/>
      <c r="J64" s="335"/>
      <c r="K64" s="336"/>
      <c r="L64" s="336"/>
      <c r="M64" s="337"/>
      <c r="N64" s="330">
        <f t="shared" si="10"/>
        <v>0</v>
      </c>
      <c r="O64" s="326"/>
      <c r="P64" s="257"/>
      <c r="Q64" s="258"/>
      <c r="R64" s="258"/>
      <c r="S64" s="258"/>
      <c r="T64" s="574"/>
      <c r="U64" s="328"/>
      <c r="V64" s="329"/>
      <c r="W64" s="27"/>
      <c r="Y64" s="113"/>
      <c r="Z64" s="23"/>
      <c r="AA64" s="113"/>
      <c r="AB64" s="23"/>
    </row>
    <row r="65" spans="1:30" ht="12.75" hidden="1">
      <c r="A65" s="661"/>
      <c r="B65" s="658"/>
      <c r="C65" s="334"/>
      <c r="D65" s="334"/>
      <c r="E65" s="320"/>
      <c r="F65" s="321"/>
      <c r="G65" s="332"/>
      <c r="H65" s="333"/>
      <c r="I65" s="607"/>
      <c r="J65" s="335"/>
      <c r="K65" s="336"/>
      <c r="L65" s="336"/>
      <c r="M65" s="337"/>
      <c r="N65" s="330">
        <f t="shared" si="10"/>
        <v>0</v>
      </c>
      <c r="O65" s="326"/>
      <c r="P65" s="257"/>
      <c r="Q65" s="258"/>
      <c r="R65" s="258"/>
      <c r="S65" s="258"/>
      <c r="T65" s="574"/>
      <c r="U65" s="328"/>
      <c r="V65" s="329"/>
      <c r="W65" s="27"/>
      <c r="Y65" s="113"/>
      <c r="Z65" s="23"/>
      <c r="AA65" s="113"/>
      <c r="AB65" s="23"/>
      <c r="AD65" s="36"/>
    </row>
    <row r="66" spans="1:30" ht="12.75" hidden="1">
      <c r="A66" s="661"/>
      <c r="B66" s="658"/>
      <c r="C66" s="334"/>
      <c r="D66" s="334"/>
      <c r="E66" s="320"/>
      <c r="F66" s="321"/>
      <c r="G66" s="332"/>
      <c r="H66" s="333"/>
      <c r="I66" s="607"/>
      <c r="J66" s="335"/>
      <c r="K66" s="336"/>
      <c r="L66" s="336"/>
      <c r="M66" s="337"/>
      <c r="N66" s="330">
        <f t="shared" si="10"/>
        <v>0</v>
      </c>
      <c r="O66" s="326"/>
      <c r="P66" s="257"/>
      <c r="Q66" s="258"/>
      <c r="R66" s="258"/>
      <c r="S66" s="258"/>
      <c r="T66" s="574"/>
      <c r="U66" s="328"/>
      <c r="V66" s="329"/>
      <c r="W66" s="27"/>
      <c r="Y66" s="113"/>
      <c r="Z66" s="23"/>
      <c r="AA66" s="113"/>
      <c r="AB66" s="23"/>
      <c r="AD66" s="36"/>
    </row>
    <row r="67" spans="1:28" ht="12.75" customHeight="1" hidden="1">
      <c r="A67" s="661"/>
      <c r="B67" s="658"/>
      <c r="C67" s="334"/>
      <c r="D67" s="334"/>
      <c r="E67" s="320"/>
      <c r="F67" s="321"/>
      <c r="G67" s="332"/>
      <c r="H67" s="333"/>
      <c r="I67" s="607"/>
      <c r="J67" s="335"/>
      <c r="K67" s="335"/>
      <c r="L67" s="335"/>
      <c r="M67" s="335"/>
      <c r="N67" s="338">
        <f t="shared" si="10"/>
        <v>0</v>
      </c>
      <c r="O67" s="326"/>
      <c r="P67" s="257"/>
      <c r="Q67" s="258"/>
      <c r="R67" s="258"/>
      <c r="S67" s="258"/>
      <c r="T67" s="574"/>
      <c r="U67" s="328"/>
      <c r="V67" s="329"/>
      <c r="W67" s="27"/>
      <c r="Y67" s="113"/>
      <c r="Z67" s="23"/>
      <c r="AA67" s="113"/>
      <c r="AB67" s="23"/>
    </row>
    <row r="68" spans="1:39" s="375" customFormat="1" ht="13.5" thickBot="1">
      <c r="A68" s="339"/>
      <c r="B68" s="340" t="s">
        <v>6</v>
      </c>
      <c r="C68" s="341"/>
      <c r="D68" s="341"/>
      <c r="E68" s="342"/>
      <c r="F68" s="343"/>
      <c r="G68" s="562">
        <f>SUMIF($E$85:$E$93,"&lt;&gt;4",$N$85:$N$93)</f>
        <v>0</v>
      </c>
      <c r="H68" s="562">
        <f aca="true" t="shared" si="11" ref="H68:N68">SUM(H48:H67)</f>
        <v>0</v>
      </c>
      <c r="I68" s="608">
        <f t="shared" si="11"/>
        <v>0</v>
      </c>
      <c r="J68" s="564">
        <f t="shared" si="11"/>
        <v>0</v>
      </c>
      <c r="K68" s="565">
        <f t="shared" si="11"/>
        <v>0</v>
      </c>
      <c r="L68" s="565">
        <f t="shared" si="11"/>
        <v>0</v>
      </c>
      <c r="M68" s="563">
        <f t="shared" si="11"/>
        <v>0</v>
      </c>
      <c r="N68" s="566">
        <f t="shared" si="11"/>
        <v>0</v>
      </c>
      <c r="O68" s="347"/>
      <c r="P68" s="559">
        <f>ROUND(SUM(P48:P67),2)</f>
        <v>0</v>
      </c>
      <c r="Q68" s="560">
        <f>ROUND(SUM(Q48:Q67),2)</f>
        <v>0</v>
      </c>
      <c r="R68" s="560">
        <f>ROUND(SUM(R48:R67),2)</f>
        <v>0</v>
      </c>
      <c r="S68" s="561">
        <f>ROUND(SUM(S48:S67),2)</f>
        <v>0</v>
      </c>
      <c r="T68" s="575">
        <f>SUM(T48:T67)</f>
        <v>0</v>
      </c>
      <c r="U68" s="580"/>
      <c r="V68" s="352"/>
      <c r="W68" s="114"/>
      <c r="X68" s="114"/>
      <c r="Y68" s="114"/>
      <c r="Z68" s="114"/>
      <c r="AA68" s="114"/>
      <c r="AB68" s="114"/>
      <c r="AC68" s="114"/>
      <c r="AD68" s="114"/>
      <c r="AE68" s="114"/>
      <c r="AF68" s="114"/>
      <c r="AG68" s="114"/>
      <c r="AH68" s="114"/>
      <c r="AI68" s="114"/>
      <c r="AJ68" s="114"/>
      <c r="AK68" s="114"/>
      <c r="AL68" s="114"/>
      <c r="AM68" s="114"/>
    </row>
    <row r="69" spans="1:30" ht="84.75" customHeight="1">
      <c r="A69" s="353" t="s">
        <v>49</v>
      </c>
      <c r="B69" s="354"/>
      <c r="C69" s="354"/>
      <c r="D69" s="354"/>
      <c r="E69" s="354"/>
      <c r="F69" s="354"/>
      <c r="G69" s="354"/>
      <c r="H69" s="354"/>
      <c r="I69" s="354"/>
      <c r="J69" s="354"/>
      <c r="K69" s="354"/>
      <c r="L69" s="354"/>
      <c r="M69" s="354"/>
      <c r="N69" s="881" t="s">
        <v>176</v>
      </c>
      <c r="O69" s="882"/>
      <c r="P69" s="882"/>
      <c r="Q69" s="355"/>
      <c r="R69" s="355"/>
      <c r="S69" s="355"/>
      <c r="T69" s="355"/>
      <c r="U69" s="576"/>
      <c r="V69" s="355"/>
      <c r="Y69" s="23"/>
      <c r="Z69" s="23"/>
      <c r="AA69" s="23"/>
      <c r="AB69" s="23"/>
      <c r="AD69" s="36"/>
    </row>
    <row r="70" spans="1:30" ht="12.75">
      <c r="A70" s="357" t="s">
        <v>48</v>
      </c>
      <c r="B70" s="174"/>
      <c r="C70" s="181"/>
      <c r="D70" s="181"/>
      <c r="E70" s="199"/>
      <c r="F70" s="199"/>
      <c r="G70" s="199"/>
      <c r="H70" s="358"/>
      <c r="I70" s="359"/>
      <c r="J70" s="359"/>
      <c r="K70" s="359"/>
      <c r="L70" s="360" t="s">
        <v>49</v>
      </c>
      <c r="M70" s="359"/>
      <c r="N70" s="359"/>
      <c r="O70" s="359"/>
      <c r="P70" s="361"/>
      <c r="Q70" s="355"/>
      <c r="R70" s="362"/>
      <c r="S70" s="362"/>
      <c r="T70" s="355"/>
      <c r="U70" s="356"/>
      <c r="V70" s="355"/>
      <c r="Y70" s="23"/>
      <c r="Z70" s="23"/>
      <c r="AA70" s="23"/>
      <c r="AB70" s="23"/>
      <c r="AD70" s="36"/>
    </row>
    <row r="71" spans="1:30" ht="12.75">
      <c r="A71" s="73"/>
      <c r="B71" s="74"/>
      <c r="C71" s="74"/>
      <c r="D71" s="74"/>
      <c r="E71" s="74"/>
      <c r="F71" s="74"/>
      <c r="G71" s="74"/>
      <c r="H71" s="74"/>
      <c r="I71" s="74"/>
      <c r="J71" s="74"/>
      <c r="K71" s="363"/>
      <c r="L71" s="363"/>
      <c r="M71" s="363"/>
      <c r="N71" s="363"/>
      <c r="O71" s="359"/>
      <c r="P71" s="364" t="s">
        <v>57</v>
      </c>
      <c r="Q71" s="365"/>
      <c r="R71" s="866"/>
      <c r="S71" s="867"/>
      <c r="T71" s="868"/>
      <c r="U71" s="356"/>
      <c r="V71" s="355"/>
      <c r="Y71" s="23"/>
      <c r="Z71" s="23"/>
      <c r="AA71" s="23"/>
      <c r="AB71" s="23"/>
      <c r="AD71" s="36"/>
    </row>
    <row r="72" spans="1:30" ht="12.75">
      <c r="A72" s="75"/>
      <c r="B72" s="66"/>
      <c r="C72" s="66"/>
      <c r="D72" s="66"/>
      <c r="E72" s="66"/>
      <c r="F72" s="66"/>
      <c r="G72" s="66"/>
      <c r="H72" s="66"/>
      <c r="I72" s="66"/>
      <c r="J72" s="66"/>
      <c r="K72" s="363"/>
      <c r="L72" s="363"/>
      <c r="M72" s="363"/>
      <c r="N72" s="363"/>
      <c r="O72" s="359"/>
      <c r="P72" s="367"/>
      <c r="Q72" s="365"/>
      <c r="R72" s="869"/>
      <c r="S72" s="870"/>
      <c r="T72" s="871"/>
      <c r="U72" s="356"/>
      <c r="V72" s="355"/>
      <c r="Y72" s="23"/>
      <c r="Z72" s="23"/>
      <c r="AA72" s="23"/>
      <c r="AB72" s="23"/>
      <c r="AD72" s="36"/>
    </row>
    <row r="73" spans="1:30" ht="12.75">
      <c r="A73" s="76"/>
      <c r="B73" s="77"/>
      <c r="C73" s="77"/>
      <c r="D73" s="77"/>
      <c r="E73" s="77"/>
      <c r="F73" s="77"/>
      <c r="G73" s="77"/>
      <c r="H73" s="77"/>
      <c r="I73" s="77"/>
      <c r="J73" s="77"/>
      <c r="K73" s="363"/>
      <c r="L73" s="363"/>
      <c r="M73" s="363"/>
      <c r="N73" s="363"/>
      <c r="O73" s="359"/>
      <c r="P73" s="367" t="s">
        <v>56</v>
      </c>
      <c r="Q73" s="365"/>
      <c r="R73" s="872"/>
      <c r="S73" s="873"/>
      <c r="T73" s="874"/>
      <c r="U73" s="356"/>
      <c r="V73" s="355"/>
      <c r="Y73" s="23"/>
      <c r="Z73" s="23"/>
      <c r="AA73" s="23"/>
      <c r="AB73" s="23"/>
      <c r="AD73" s="36"/>
    </row>
    <row r="74" spans="1:28" ht="30.75" customHeight="1" thickBot="1">
      <c r="A74" s="214"/>
      <c r="B74" s="215"/>
      <c r="C74" s="368"/>
      <c r="D74" s="368"/>
      <c r="E74" s="368"/>
      <c r="F74" s="368"/>
      <c r="G74" s="368"/>
      <c r="H74" s="369"/>
      <c r="I74" s="370"/>
      <c r="J74" s="370"/>
      <c r="K74" s="370"/>
      <c r="L74" s="370"/>
      <c r="M74" s="370"/>
      <c r="N74" s="370"/>
      <c r="O74" s="370"/>
      <c r="P74" s="371"/>
      <c r="Q74" s="371"/>
      <c r="R74" s="864" t="s">
        <v>78</v>
      </c>
      <c r="S74" s="865"/>
      <c r="T74" s="865"/>
      <c r="U74" s="372"/>
      <c r="V74" s="355"/>
      <c r="Y74" s="23"/>
      <c r="Z74" s="23"/>
      <c r="AA74" s="23"/>
      <c r="AB74" s="23"/>
    </row>
    <row r="75" spans="1:28" ht="13.5" hidden="1" thickTop="1">
      <c r="A75" s="191"/>
      <c r="B75" s="199"/>
      <c r="C75" s="199"/>
      <c r="D75" s="199"/>
      <c r="E75" s="199">
        <v>1</v>
      </c>
      <c r="F75" s="199"/>
      <c r="G75" s="199"/>
      <c r="H75" s="358"/>
      <c r="I75" s="359"/>
      <c r="J75" s="359"/>
      <c r="K75" s="359"/>
      <c r="L75" s="359"/>
      <c r="M75" s="359"/>
      <c r="N75" s="359"/>
      <c r="O75" s="359"/>
      <c r="P75" s="355">
        <v>1</v>
      </c>
      <c r="Q75" s="355"/>
      <c r="R75" s="355"/>
      <c r="S75" s="355"/>
      <c r="T75" s="355"/>
      <c r="U75" s="355"/>
      <c r="V75" s="355"/>
      <c r="Y75" s="23"/>
      <c r="Z75" s="23"/>
      <c r="AA75" s="23"/>
      <c r="AB75" s="23"/>
    </row>
    <row r="76" spans="1:28" ht="12.75" hidden="1">
      <c r="A76" s="15"/>
      <c r="C76" s="17"/>
      <c r="D76" s="17"/>
      <c r="E76" s="17">
        <v>1</v>
      </c>
      <c r="F76" s="17"/>
      <c r="G76" s="18"/>
      <c r="H76" s="19"/>
      <c r="I76" s="20"/>
      <c r="J76" s="20"/>
      <c r="K76" s="20"/>
      <c r="L76" s="20"/>
      <c r="M76" s="20"/>
      <c r="N76" s="20"/>
      <c r="O76" s="20"/>
      <c r="P76" s="21">
        <v>1</v>
      </c>
      <c r="Q76" s="21"/>
      <c r="R76" s="21"/>
      <c r="S76" s="21"/>
      <c r="T76" s="21"/>
      <c r="U76" s="21"/>
      <c r="V76" s="21"/>
      <c r="Y76" s="23"/>
      <c r="Z76" s="23"/>
      <c r="AA76" s="23"/>
      <c r="AB76" s="23"/>
    </row>
    <row r="77" spans="1:28" ht="12.75" hidden="1">
      <c r="A77" s="15"/>
      <c r="C77" s="17"/>
      <c r="D77" s="17"/>
      <c r="E77" s="17">
        <v>1</v>
      </c>
      <c r="F77" s="17"/>
      <c r="G77" s="18"/>
      <c r="H77" s="19"/>
      <c r="I77" s="20"/>
      <c r="J77" s="20"/>
      <c r="K77" s="20"/>
      <c r="L77" s="20"/>
      <c r="M77" s="20"/>
      <c r="N77" s="20"/>
      <c r="O77" s="20"/>
      <c r="P77" s="21"/>
      <c r="Q77" s="21"/>
      <c r="R77" s="21"/>
      <c r="S77" s="21"/>
      <c r="T77" s="21"/>
      <c r="U77" s="21"/>
      <c r="V77" s="21"/>
      <c r="Y77" s="23"/>
      <c r="Z77" s="23"/>
      <c r="AA77" s="23"/>
      <c r="AB77" s="23"/>
    </row>
    <row r="78" spans="1:28" ht="12.75" hidden="1">
      <c r="A78" s="15"/>
      <c r="C78" s="17"/>
      <c r="D78" s="17"/>
      <c r="E78" s="17">
        <v>1</v>
      </c>
      <c r="F78" s="17"/>
      <c r="G78" s="18"/>
      <c r="H78" s="19"/>
      <c r="I78" s="20"/>
      <c r="J78" s="20"/>
      <c r="K78" s="20"/>
      <c r="L78" s="20"/>
      <c r="M78" s="20"/>
      <c r="N78" s="20"/>
      <c r="O78" s="20"/>
      <c r="P78" s="21">
        <v>1</v>
      </c>
      <c r="Q78" s="21"/>
      <c r="R78" s="21"/>
      <c r="S78" s="21"/>
      <c r="T78" s="21"/>
      <c r="U78" s="21"/>
      <c r="V78" s="21"/>
      <c r="Y78" s="23"/>
      <c r="Z78" s="23"/>
      <c r="AA78" s="23"/>
      <c r="AB78" s="23"/>
    </row>
    <row r="79" spans="1:28" ht="12.75" hidden="1">
      <c r="A79" s="15"/>
      <c r="B79" s="17"/>
      <c r="C79" s="17"/>
      <c r="D79" s="17"/>
      <c r="E79" s="17">
        <v>1</v>
      </c>
      <c r="F79" s="17"/>
      <c r="G79" s="17"/>
      <c r="H79" s="19"/>
      <c r="I79" s="20"/>
      <c r="J79" s="50">
        <v>3</v>
      </c>
      <c r="K79" s="50">
        <v>3</v>
      </c>
      <c r="L79" s="50">
        <v>3</v>
      </c>
      <c r="M79" s="50">
        <v>3</v>
      </c>
      <c r="N79" s="20"/>
      <c r="O79" s="20"/>
      <c r="P79" s="21">
        <v>1</v>
      </c>
      <c r="Q79" s="21"/>
      <c r="R79" s="21"/>
      <c r="S79" s="21"/>
      <c r="T79" s="21"/>
      <c r="U79" s="21"/>
      <c r="V79" s="21"/>
      <c r="Y79" s="23"/>
      <c r="Z79" s="23"/>
      <c r="AA79" s="23"/>
      <c r="AB79" s="23"/>
    </row>
    <row r="80" spans="1:28" ht="12.75" hidden="1">
      <c r="A80" s="15"/>
      <c r="B80" s="17"/>
      <c r="C80" s="17"/>
      <c r="D80" s="17"/>
      <c r="E80" s="17">
        <v>1</v>
      </c>
      <c r="F80" s="17"/>
      <c r="G80" s="17"/>
      <c r="H80" s="19"/>
      <c r="I80" s="20"/>
      <c r="J80" s="50">
        <v>2</v>
      </c>
      <c r="K80" s="50">
        <v>2</v>
      </c>
      <c r="L80" s="50">
        <v>2</v>
      </c>
      <c r="M80" s="50">
        <v>2</v>
      </c>
      <c r="N80" s="20"/>
      <c r="O80" s="20"/>
      <c r="P80" s="21"/>
      <c r="Q80" s="21"/>
      <c r="R80" s="21"/>
      <c r="S80" s="21"/>
      <c r="T80" s="21"/>
      <c r="U80" s="21"/>
      <c r="V80" s="21"/>
      <c r="Y80" s="23"/>
      <c r="Z80" s="23"/>
      <c r="AA80" s="23"/>
      <c r="AB80" s="23"/>
    </row>
    <row r="81" spans="1:28" ht="13.5" customHeight="1" hidden="1">
      <c r="A81" s="15"/>
      <c r="B81" s="17"/>
      <c r="C81" s="17"/>
      <c r="D81" s="17"/>
      <c r="E81" s="17">
        <v>1</v>
      </c>
      <c r="F81" s="17"/>
      <c r="G81" s="17"/>
      <c r="H81" s="19"/>
      <c r="I81" s="20"/>
      <c r="J81" s="20"/>
      <c r="K81" s="20"/>
      <c r="L81" s="20"/>
      <c r="M81" s="20"/>
      <c r="N81" s="20"/>
      <c r="O81" s="20"/>
      <c r="P81" s="21"/>
      <c r="Q81" s="21"/>
      <c r="R81" s="21"/>
      <c r="S81" s="21"/>
      <c r="T81" s="21"/>
      <c r="U81" s="21"/>
      <c r="V81" s="21"/>
      <c r="Y81" s="23"/>
      <c r="Z81" s="23"/>
      <c r="AA81" s="23"/>
      <c r="AB81" s="23"/>
    </row>
    <row r="82" spans="1:28" ht="13.5" hidden="1" thickBot="1">
      <c r="A82" s="15"/>
      <c r="B82" s="17"/>
      <c r="C82" s="17"/>
      <c r="D82" s="17"/>
      <c r="E82" s="17">
        <v>1</v>
      </c>
      <c r="F82" s="17"/>
      <c r="G82" s="17"/>
      <c r="H82" s="19"/>
      <c r="I82" s="20"/>
      <c r="J82" s="24" t="str">
        <f>J37</f>
        <v>REG</v>
      </c>
      <c r="K82" s="24" t="str">
        <f>K37</f>
        <v>HBT</v>
      </c>
      <c r="L82" s="24">
        <f>L37</f>
        <v>0</v>
      </c>
      <c r="M82" s="24" t="str">
        <f>M37</f>
        <v>HBY</v>
      </c>
      <c r="N82" s="20"/>
      <c r="O82" s="20"/>
      <c r="P82" s="21"/>
      <c r="Q82" s="21"/>
      <c r="R82" s="21"/>
      <c r="S82" s="21"/>
      <c r="T82" s="21"/>
      <c r="U82" s="21"/>
      <c r="V82" s="21"/>
      <c r="Y82" s="23"/>
      <c r="Z82" s="23"/>
      <c r="AA82" s="23"/>
      <c r="AB82" s="23"/>
    </row>
    <row r="83" spans="5:34" ht="12.75" hidden="1">
      <c r="E83" s="16">
        <v>1</v>
      </c>
      <c r="G83" s="26"/>
      <c r="Q83" s="16">
        <v>1</v>
      </c>
      <c r="AG83" s="22">
        <v>0.27</v>
      </c>
      <c r="AH83" s="22" t="s">
        <v>19</v>
      </c>
    </row>
    <row r="84" spans="2:33" ht="13.5" hidden="1" thickBot="1">
      <c r="B84" s="27"/>
      <c r="C84" s="27" t="s">
        <v>131</v>
      </c>
      <c r="D84" s="16" t="s">
        <v>114</v>
      </c>
      <c r="E84" s="27">
        <v>1</v>
      </c>
      <c r="F84" s="28" t="s">
        <v>91</v>
      </c>
      <c r="G84" s="29"/>
      <c r="H84" s="29"/>
      <c r="I84" s="29"/>
      <c r="J84" s="24" t="str">
        <f>dos_1_on</f>
        <v>REG</v>
      </c>
      <c r="K84" s="24" t="str">
        <f>dos_2_on</f>
        <v>HBT</v>
      </c>
      <c r="L84" s="24">
        <f>dos_3_on</f>
        <v>0</v>
      </c>
      <c r="M84" s="24" t="str">
        <f>dos_4_on</f>
        <v>HBY</v>
      </c>
      <c r="N84" s="20">
        <f aca="true" t="shared" si="12" ref="N84:N104">SUM(J84:M84)</f>
        <v>0</v>
      </c>
      <c r="O84" s="20"/>
      <c r="P84" s="30">
        <v>1</v>
      </c>
      <c r="Q84" s="31" t="s">
        <v>4</v>
      </c>
      <c r="R84" s="31" t="s">
        <v>7</v>
      </c>
      <c r="S84" s="29">
        <f>IF(Scale="",0,(VLOOKUP(Scale,hbx,2,FALSE)))</f>
        <v>0</v>
      </c>
      <c r="T84" s="31" t="s">
        <v>67</v>
      </c>
      <c r="U84" s="29" t="s">
        <v>2</v>
      </c>
      <c r="V84" s="20"/>
      <c r="X84" s="32"/>
      <c r="AG84" s="23">
        <f>SUM(AG51:AG83)</f>
        <v>0.27</v>
      </c>
    </row>
    <row r="85" spans="2:28" ht="12.75" hidden="1">
      <c r="B85" s="27"/>
      <c r="C85" s="33">
        <f>fundtype1</f>
        <v>1</v>
      </c>
      <c r="D85" s="16">
        <f>acct1_on</f>
        <v>0</v>
      </c>
      <c r="E85" s="33">
        <v>1</v>
      </c>
      <c r="F85" s="22">
        <f aca="true" t="shared" si="13" ref="F85:F93">IF(E85=4,F48,"")</f>
      </c>
      <c r="G85" s="22"/>
      <c r="H85" s="22"/>
      <c r="I85" s="22"/>
      <c r="J85" s="34">
        <f>IF(fundtype1=1,"",IF(fundtype1=2,SUMIF(month_source,2,Q$85:Q$86),IF(fundtype1=3,SUMIF(month_source,3,Q$85:Q$86),IF(fundtype1=4,$F48*J$43,""))))</f>
      </c>
      <c r="K85" s="34">
        <f>IF(fundtype1=1,"",IF(fundtype1=2,SUMIF(month_source,2,R$85:R$86),IF(fundtype1=3,SUMIF(month_source,3,R$85:R$86),IF(fundtype1=4,$F48*K$43,""))))</f>
      </c>
      <c r="L85" s="34">
        <f>IF(fundtype1=1,"",IF(fundtype1=2,SUMIF(month_source,2,S$85:S$86),IF(fundtype1=3,SUMIF(month_source,3,S$85:S$86),IF(fundtype1=4,$F48*L$43,""))))</f>
      </c>
      <c r="M85" s="34">
        <f>IF(fundtype1=1,"",IF(fundtype1=2,SUMIF(month_source,2,T$85:T$86),IF(fundtype1=3,SUMIF(month_source,3,T$85:T$86),IF(fundtype1=4,$F48*M$43,""))))</f>
      </c>
      <c r="N85" s="23">
        <f t="shared" si="12"/>
        <v>0</v>
      </c>
      <c r="O85" s="23">
        <v>1</v>
      </c>
      <c r="P85" s="35">
        <v>1</v>
      </c>
      <c r="Q85" s="36">
        <f aca="true" t="shared" si="14" ref="Q85:T86">Q38</f>
        <v>0</v>
      </c>
      <c r="R85" s="36">
        <f t="shared" si="14"/>
        <v>0</v>
      </c>
      <c r="S85" s="36">
        <f t="shared" si="14"/>
        <v>0</v>
      </c>
      <c r="T85" s="36">
        <f t="shared" si="14"/>
        <v>0</v>
      </c>
      <c r="U85" s="23">
        <f>SUM(Q85:T85)</f>
        <v>0</v>
      </c>
      <c r="V85" s="23"/>
      <c r="Y85" s="15"/>
      <c r="Z85" s="37"/>
      <c r="AA85" s="15"/>
      <c r="AB85" s="38"/>
    </row>
    <row r="86" spans="2:26" ht="12.75" hidden="1">
      <c r="B86" s="27"/>
      <c r="C86" s="33">
        <f>fundtype2</f>
        <v>1</v>
      </c>
      <c r="D86" s="16">
        <f>acct2_on</f>
        <v>0</v>
      </c>
      <c r="E86" s="33">
        <v>1</v>
      </c>
      <c r="F86" s="22">
        <f t="shared" si="13"/>
      </c>
      <c r="G86" s="15"/>
      <c r="H86" s="15"/>
      <c r="I86" s="15"/>
      <c r="J86" s="39">
        <f>IF(fundtype2=1,"",IF(fundtype2=2,SUMIF(month_source,2,Q$85:Q$86),IF(fundtype2=3,SUMIF(month_source,3,Q$85:Q$86),IF(fundtype2=4,$F49*J$43,""))))</f>
      </c>
      <c r="K86" s="39">
        <f>IF(fundtype2=1,"",IF(fundtype2=2,SUMIF(month_source,2,R$85:R$86),IF(fundtype2=3,SUMIF(month_source,3,R$85:R$86),IF(fundtype2=4,$F49*K$43,""))))</f>
      </c>
      <c r="L86" s="39">
        <f>IF(fundtype2=1,"",IF(fundtype2=2,SUMIF(month_source,2,S$85:S$86),IF(fundtype2=3,SUMIF(month_source,3,S$85:S$86),IF(fundtype2=4,$F49*L$43,""))))</f>
      </c>
      <c r="M86" s="39">
        <f>IF(fundtype2=1,"",IF(fundtype2=2,SUMIF(month_source,2,T$85:T$86),IF(fundtype2=3,SUMIF(month_source,3,T$85:T$86),IF(fundtype2=4,$F49*M$43,""))))</f>
      </c>
      <c r="N86" s="23">
        <f t="shared" si="12"/>
        <v>0</v>
      </c>
      <c r="O86" s="23">
        <v>1</v>
      </c>
      <c r="P86" s="35">
        <v>1</v>
      </c>
      <c r="Q86" s="36">
        <v>1</v>
      </c>
      <c r="R86" s="36">
        <f t="shared" si="14"/>
        <v>0</v>
      </c>
      <c r="S86" s="36">
        <f t="shared" si="14"/>
        <v>0</v>
      </c>
      <c r="T86" s="36">
        <f t="shared" si="14"/>
        <v>0</v>
      </c>
      <c r="U86" s="23">
        <f>SUM(Q86:T86)</f>
        <v>1</v>
      </c>
      <c r="V86" s="23"/>
      <c r="X86" s="18"/>
      <c r="Z86" s="18"/>
    </row>
    <row r="87" spans="2:28" ht="12.75" hidden="1">
      <c r="B87" s="22"/>
      <c r="C87" s="33">
        <f>fundtype3</f>
        <v>1</v>
      </c>
      <c r="D87" s="16">
        <f>acct3_on</f>
        <v>0</v>
      </c>
      <c r="E87" s="33">
        <v>1</v>
      </c>
      <c r="F87" s="23">
        <f t="shared" si="13"/>
      </c>
      <c r="G87" s="36">
        <f>G50</f>
      </c>
      <c r="H87" s="22"/>
      <c r="I87" s="22"/>
      <c r="J87" s="39">
        <f>IF(fundtype3=1,"",IF(fundtype3=2,SUMIF(month_source,2,Q$85:Q$86),IF(fundtype3=3,SUMIF(month_source,3,Q$85:Q$86),IF(fundtype3=4,$F50*J$43,""))))</f>
      </c>
      <c r="K87" s="39">
        <f>IF(fundtype3=1,"",IF(fundtype3=2,SUMIF(month_source,2,R$85:R$86),IF(fundtype3=3,SUMIF(month_source,3,R$85:R$86),IF(fundtype3=4,$F50*K$43,""))))</f>
      </c>
      <c r="L87" s="39">
        <f>IF(fundtype3=1,"",IF(fundtype3=2,SUMIF(month_source,2,S$85:S$86),IF(fundtype3=3,SUMIF(month_source,3,S$85:S$86),IF(fundtype3=4,$F50*L$43,""))))</f>
      </c>
      <c r="M87" s="39">
        <f>IF(fundtype3=1,"",IF(fundtype3=2,SUMIF(month_source,2,T$85:T$86),IF(fundtype3=3,SUMIF(month_source,3,T$85:T$86),IF(fundtype3=4,$F50*M$43,""))))</f>
      </c>
      <c r="N87" s="23">
        <f t="shared" si="12"/>
        <v>0</v>
      </c>
      <c r="O87" s="23"/>
      <c r="P87" s="23" t="s">
        <v>5</v>
      </c>
      <c r="Q87" s="23">
        <f>SUM(Q85:Q86)</f>
        <v>1</v>
      </c>
      <c r="R87" s="23">
        <f>SUM(R85:R86)</f>
        <v>0</v>
      </c>
      <c r="S87" s="23">
        <f>SUM(S85:S86)</f>
        <v>0</v>
      </c>
      <c r="T87" s="23">
        <f>SUM(T85:T86)</f>
        <v>0</v>
      </c>
      <c r="U87" s="23">
        <f>SUM(U85:U86)</f>
        <v>1</v>
      </c>
      <c r="V87" s="23"/>
      <c r="X87" s="40"/>
      <c r="Y87" s="40"/>
      <c r="Z87" s="40"/>
      <c r="AA87" s="40"/>
      <c r="AB87" s="40"/>
    </row>
    <row r="88" spans="2:28" ht="12.75" hidden="1">
      <c r="B88" s="22"/>
      <c r="C88" s="33">
        <f>fundtype4</f>
        <v>1</v>
      </c>
      <c r="D88" s="16">
        <f>acct4_on</f>
        <v>0</v>
      </c>
      <c r="E88" s="33">
        <v>1</v>
      </c>
      <c r="F88" s="23">
        <f t="shared" si="13"/>
      </c>
      <c r="G88" s="36">
        <f>G51</f>
      </c>
      <c r="H88" s="22"/>
      <c r="I88" s="22"/>
      <c r="J88" s="39">
        <f>IF(fundtype4=1,"",IF(fundtype4=2,SUMIF(month_source,2,Q$85:Q$86),IF(fundtype4=3,SUMIF(month_source,3,Q$85:Q$86),IF(fundtype4=4,$F51*J$43,""))))</f>
      </c>
      <c r="K88" s="39">
        <f>IF(fundtype4=1,"",IF(fundtype4=2,SUMIF(month_source,2,R$85:R$86),IF(fundtype4=3,SUMIF(month_source,3,R$85:R$86),IF(fundtype4=4,$F51*K$43,""))))</f>
      </c>
      <c r="L88" s="39">
        <f>IF(fundtype4=1,"",IF(fundtype4=2,SUMIF(month_source,2,S$85:S$86),IF(fundtype4=3,SUMIF(month_source,3,S$85:S$86),IF(fundtype4=4,$F51*L$43,""))))</f>
      </c>
      <c r="M88" s="39">
        <f>IF(fundtype4=1,"",IF(fundtype4=2,SUMIF(month_source,2,T$85:T$86),IF(fundtype4=3,SUMIF(month_source,3,T$85:T$86),IF(fundtype4=4,$F51*M$43,""))))</f>
      </c>
      <c r="N88" s="23">
        <f t="shared" si="12"/>
        <v>0</v>
      </c>
      <c r="O88" s="23"/>
      <c r="P88" s="23" t="s">
        <v>85</v>
      </c>
      <c r="Q88" s="23">
        <f aca="true" t="shared" si="15" ref="Q88:T89">IF(ISERROR(Q85/$U85),0,Q85/$U85)</f>
        <v>0</v>
      </c>
      <c r="R88" s="23">
        <f t="shared" si="15"/>
        <v>0</v>
      </c>
      <c r="S88" s="23">
        <f t="shared" si="15"/>
        <v>0</v>
      </c>
      <c r="T88" s="23">
        <f t="shared" si="15"/>
        <v>0</v>
      </c>
      <c r="U88" s="23"/>
      <c r="V88" s="23"/>
      <c r="X88" s="15"/>
      <c r="Y88" s="15"/>
      <c r="Z88" s="15"/>
      <c r="AA88" s="40"/>
      <c r="AB88" s="15"/>
    </row>
    <row r="89" spans="2:28" ht="12.75" hidden="1">
      <c r="B89" s="22"/>
      <c r="C89" s="33">
        <f>fundtype5</f>
        <v>1</v>
      </c>
      <c r="D89" s="16">
        <f>acct5_on</f>
        <v>0</v>
      </c>
      <c r="E89" s="33">
        <v>1</v>
      </c>
      <c r="F89" s="22">
        <f t="shared" si="13"/>
      </c>
      <c r="G89" s="22"/>
      <c r="H89" s="22"/>
      <c r="I89" s="22"/>
      <c r="J89" s="39">
        <f>IF(fundtype5=1,"",IF(fundtype5=2,SUMIF(month_source,2,Q$85:Q$86),IF(fundtype5=3,SUMIF(month_source,3,Q$85:Q$86),IF(fundtype5=4,$F52*J$43,""))))</f>
      </c>
      <c r="K89" s="39">
        <f>IF(fundtype5=1,"",IF(fundtype5=2,SUMIF(month_source,2,R$85:R$86),IF(fundtype5=3,SUMIF(month_source,3,R$85:R$86),IF(fundtype5=4,$F52*K$43,""))))</f>
      </c>
      <c r="L89" s="39">
        <f>IF(fundtype5=1,"",IF(fundtype5=2,SUMIF(month_source,2,S$85:S$86),IF(fundtype5=3,SUMIF(month_source,3,S$85:S$86),IF(fundtype5=4,$F52*L$43,""))))</f>
      </c>
      <c r="M89" s="39">
        <f>IF(fundtype5=1,"",IF(fundtype5=2,SUMIF(month_source,2,T$85:T$86),IF(fundtype5=3,SUMIF(month_source,3,T$85:T$86),IF(fundtype5=4,$F52*M$43,""))))</f>
      </c>
      <c r="N89" s="23">
        <f t="shared" si="12"/>
        <v>0</v>
      </c>
      <c r="O89" s="23"/>
      <c r="P89" s="23"/>
      <c r="Q89" s="23">
        <f t="shared" si="15"/>
        <v>1</v>
      </c>
      <c r="R89" s="23">
        <f t="shared" si="15"/>
        <v>0</v>
      </c>
      <c r="S89" s="23">
        <f t="shared" si="15"/>
        <v>0</v>
      </c>
      <c r="T89" s="23">
        <f t="shared" si="15"/>
        <v>0</v>
      </c>
      <c r="U89" s="23"/>
      <c r="V89" s="23"/>
      <c r="X89" s="15"/>
      <c r="Y89" s="41"/>
      <c r="Z89" s="15"/>
      <c r="AA89" s="42"/>
      <c r="AB89" s="36"/>
    </row>
    <row r="90" spans="2:28" ht="12.75" hidden="1">
      <c r="B90" s="22"/>
      <c r="C90" s="33">
        <f>fundtype6</f>
        <v>1</v>
      </c>
      <c r="D90" s="16">
        <f>acct6_on</f>
        <v>0</v>
      </c>
      <c r="E90" s="33">
        <v>1</v>
      </c>
      <c r="F90" s="22">
        <f t="shared" si="13"/>
      </c>
      <c r="G90" s="22"/>
      <c r="H90" s="22"/>
      <c r="I90" s="22"/>
      <c r="J90" s="39">
        <f>IF(fundtype6=1,"",IF(fundtype6=2,SUMIF(month_source,2,Q$85:Q$86),IF(fundtype6=3,SUMIF(month_source,3,Q$85:Q$86),IF(fundtype6=4,$F53*J$43,""))))</f>
      </c>
      <c r="K90" s="39">
        <f>IF(fundtype6=1,"",IF(fundtype6=2,SUMIF(month_source,2,R$85:R$86),IF(fundtype6=3,SUMIF(month_source,3,R$85:R$86),IF(fundtype6=4,$F53*K$43,""))))</f>
      </c>
      <c r="L90" s="39">
        <f>IF(fundtype6=1,"",IF(fundtype6=2,SUMIF(month_source,2,S$85:S$86),IF(fundtype6=3,SUMIF(month_source,3,S$85:S$86),IF(fundtype6=4,$F53*L$43,""))))</f>
      </c>
      <c r="M90" s="39">
        <f>IF(fundtype6=1,"",IF(fundtype6=2,SUMIF(month_source,2,T$85:T$86),IF(fundtype6=3,SUMIF(month_source,3,T$85:T$86),IF(fundtype6=4,$F53*M$43,""))))</f>
      </c>
      <c r="N90" s="23">
        <f t="shared" si="12"/>
        <v>0</v>
      </c>
      <c r="O90" s="23"/>
      <c r="P90" s="23"/>
      <c r="Q90" s="23"/>
      <c r="R90" s="23"/>
      <c r="S90" s="23"/>
      <c r="T90" s="23"/>
      <c r="U90" s="23"/>
      <c r="V90" s="23"/>
      <c r="X90" s="15"/>
      <c r="Y90" s="41"/>
      <c r="Z90" s="15"/>
      <c r="AA90" s="42"/>
      <c r="AB90" s="36"/>
    </row>
    <row r="91" spans="2:28" ht="12.75" hidden="1">
      <c r="B91" s="22"/>
      <c r="C91" s="33">
        <f>fundtype7</f>
        <v>1</v>
      </c>
      <c r="D91" s="16">
        <f>acct7_on</f>
        <v>0</v>
      </c>
      <c r="E91" s="33">
        <v>1</v>
      </c>
      <c r="F91" s="22">
        <f t="shared" si="13"/>
      </c>
      <c r="G91" s="22"/>
      <c r="H91" s="22"/>
      <c r="I91" s="22"/>
      <c r="J91" s="39">
        <f>IF(fundtype7=1,"",IF(fundtype7=2,SUMIF(month_source,2,Q$85:Q$86),IF(fundtype7=3,SUMIF(month_source,3,Q$85:Q$86),IF(fundtype7=4,$F54*J$43,""))))</f>
      </c>
      <c r="K91" s="39">
        <f>IF(fundtype7=1,"",IF(fundtype7=2,SUMIF(month_source,2,R$85:R$86),IF(fundtype7=3,SUMIF(month_source,3,R$85:R$86),IF(fundtype7=4,$F54*K$43,""))))</f>
      </c>
      <c r="L91" s="39">
        <f>IF(fundtype7=1,"",IF(fundtype7=2,SUMIF(month_source,2,S$85:S$86),IF(fundtype7=3,SUMIF(month_source,3,S$85:S$86),IF(fundtype7=4,$F54*L$43,""))))</f>
      </c>
      <c r="M91" s="39">
        <f>IF(fundtype7=1,"",IF(fundtype7=2,SUMIF(month_source,2,T$85:T$86),IF(fundtype7=3,SUMIF(month_source,3,T$85:T$86),IF(fundtype7=4,$F54*M$43,""))))</f>
      </c>
      <c r="N91" s="23">
        <f t="shared" si="12"/>
        <v>0</v>
      </c>
      <c r="O91" s="23"/>
      <c r="P91" s="23"/>
      <c r="Q91" s="23"/>
      <c r="R91" s="23"/>
      <c r="S91" s="23"/>
      <c r="T91" s="23"/>
      <c r="U91" s="23"/>
      <c r="V91" s="23"/>
      <c r="X91" s="15"/>
      <c r="Y91" s="41"/>
      <c r="Z91" s="15"/>
      <c r="AA91" s="42"/>
      <c r="AB91" s="36"/>
    </row>
    <row r="92" spans="2:28" ht="13.5" hidden="1" thickBot="1">
      <c r="B92" s="22"/>
      <c r="C92" s="33">
        <f>fundtype8</f>
        <v>1</v>
      </c>
      <c r="D92" s="16">
        <f>acct8_on</f>
        <v>0</v>
      </c>
      <c r="E92" s="33">
        <v>1</v>
      </c>
      <c r="F92" s="22">
        <f t="shared" si="13"/>
      </c>
      <c r="G92" s="22"/>
      <c r="H92" s="22"/>
      <c r="I92" s="22"/>
      <c r="J92" s="39">
        <f>IF(fundtype8=1,"",IF(fundtype8=2,SUMIF(month_source,2,Q$85:Q$86),IF(fundtype8=3,SUMIF(month_source,3,Q$85:Q$86),IF(fundtype8=4,$F55*J$43,""))))</f>
      </c>
      <c r="K92" s="39">
        <f>IF(fundtype8=1,"",IF(fundtype8=2,SUMIF(month_source,2,R$85:R$86),IF(fundtype8=3,SUMIF(month_source,3,R$85:R$86),IF(fundtype8=4,$F55*K$43,""))))</f>
      </c>
      <c r="L92" s="39">
        <f>IF(fundtype8=1,"",IF(fundtype8=2,SUMIF(month_source,2,S$85:S$86),IF(fundtype8=3,SUMIF(month_source,3,S$85:S$86),IF(fundtype8=4,$F55*L$43,""))))</f>
      </c>
      <c r="M92" s="39">
        <f>IF(fundtype8=1,"",IF(fundtype8=2,SUMIF(month_source,2,T$85:T$86),IF(fundtype8=3,SUMIF(month_source,3,T$85:T$86),IF(fundtype8=4,$F55*M$43,""))))</f>
      </c>
      <c r="N92" s="23">
        <f t="shared" si="12"/>
        <v>0</v>
      </c>
      <c r="O92" s="23"/>
      <c r="P92" s="23"/>
      <c r="Q92" s="23">
        <v>1</v>
      </c>
      <c r="R92" s="23"/>
      <c r="S92" s="23"/>
      <c r="T92" s="23"/>
      <c r="U92" s="23"/>
      <c r="V92" s="23"/>
      <c r="X92" s="15"/>
      <c r="Y92" s="41"/>
      <c r="Z92" s="15"/>
      <c r="AA92" s="42"/>
      <c r="AB92" s="36"/>
    </row>
    <row r="93" spans="2:28" ht="13.5" hidden="1" thickBot="1">
      <c r="B93" s="22"/>
      <c r="C93" s="33">
        <f>fundtype9</f>
        <v>1</v>
      </c>
      <c r="D93" s="16">
        <f>acct9_on</f>
        <v>0</v>
      </c>
      <c r="E93" s="33">
        <v>1</v>
      </c>
      <c r="F93" s="22">
        <f t="shared" si="13"/>
      </c>
      <c r="G93" s="22"/>
      <c r="H93" s="22"/>
      <c r="I93" s="22"/>
      <c r="J93" s="39">
        <f>IF(fundtype9=1,"",IF(fundtype9=2,SUMIF(month_source,2,Q$85:Q$86),IF(fundtype9=3,SUMIF(month_source,3,Q$85:Q$86),IF(fundtype9=4,$F56*J$43,""))))</f>
      </c>
      <c r="K93" s="39">
        <f>IF(fundtype9=1,"",IF(fundtype9=2,SUMIF(month_source,2,R$85:R$86),IF(fundtype9=3,SUMIF(month_source,3,R$85:R$86),IF(fundtype9=4,$F56*K$43,""))))</f>
      </c>
      <c r="L93" s="39">
        <f>IF(fundtype9=1,"",IF(fundtype9=2,SUMIF(month_source,2,S$85:S$86),IF(fundtype9=3,SUMIF(month_source,3,S$85:S$86),IF(fundtype9=4,$F56*L$43,""))))</f>
      </c>
      <c r="M93" s="39">
        <f>IF(fundtype9=1,"",IF(fundtype9=2,SUMIF(month_source,2,T$85:T$86),IF(fundtype9=3,SUMIF(month_source,3,T$85:T$86),IF(fundtype9=4,$F56*M$43,""))))</f>
      </c>
      <c r="N93" s="23">
        <f t="shared" si="12"/>
        <v>0</v>
      </c>
      <c r="O93" s="23"/>
      <c r="P93" s="23"/>
      <c r="Q93" s="583">
        <v>1</v>
      </c>
      <c r="R93" s="581" t="s">
        <v>175</v>
      </c>
      <c r="S93" s="582"/>
      <c r="T93" s="23"/>
      <c r="U93" s="23"/>
      <c r="V93" s="23"/>
      <c r="X93" s="15"/>
      <c r="Y93" s="41"/>
      <c r="Z93" s="15"/>
      <c r="AA93" s="42"/>
      <c r="AB93" s="36"/>
    </row>
    <row r="94" spans="2:28" ht="12.75" hidden="1">
      <c r="B94" s="22"/>
      <c r="C94" s="22"/>
      <c r="D94" s="22"/>
      <c r="E94" s="22"/>
      <c r="F94" s="22"/>
      <c r="G94" s="22"/>
      <c r="H94" s="22"/>
      <c r="I94" s="22"/>
      <c r="J94" s="42">
        <f>IF(fundtype9=1,"",IF(fundtype9=2,SUMIF($P$85:$P$86,2,Q$85:Q$86),IF(fundtype9=3,SUMIF($P$85:$P$86,3,Q$85:Q$86),IF(fundtype9=4,$F57*J$43,""))))</f>
      </c>
      <c r="K94" s="42">
        <f>IF(fundtype9=1,"",IF(fundtype9=2,SUMIF($P$85:$P$86,2,R$85:R$86),IF(fundtype9=3,SUMIF($P$85:$P$86,3,R$85:R$86),IF(fundtype9=4,$F57*K$43,""))))</f>
      </c>
      <c r="L94" s="42">
        <f>IF(fundtype9=1,"",IF(fundtype9=2,SUMIF($P$85:$P$86,2,S$85:S$86),IF(fundtype9=3,SUMIF($P$85:$P$86,3,S$85:S$86),IF(fundtype9=4,$F57*L$43,""))))</f>
      </c>
      <c r="M94" s="42">
        <f>IF(fundtype9=1,"",IF(fundtype9=2,SUMIF($P$85:$P$86,2,T$85:T$86),IF(fundtype9=3,SUMIF($P$85:$P$86,3,T$85:T$86),IF(fundtype9=4,$F57*M$43,""))))</f>
      </c>
      <c r="N94" s="23">
        <f t="shared" si="12"/>
        <v>0</v>
      </c>
      <c r="O94" s="23"/>
      <c r="P94" s="23"/>
      <c r="Q94" s="23"/>
      <c r="R94" s="23"/>
      <c r="S94" s="23"/>
      <c r="T94" s="23"/>
      <c r="U94" s="23"/>
      <c r="V94" s="23"/>
      <c r="X94" s="15"/>
      <c r="Y94" s="41"/>
      <c r="Z94" s="15"/>
      <c r="AA94" s="42"/>
      <c r="AB94" s="36"/>
    </row>
    <row r="95" spans="2:28" ht="12.75" hidden="1">
      <c r="B95" s="22"/>
      <c r="C95" s="22"/>
      <c r="D95" s="22"/>
      <c r="E95" s="22"/>
      <c r="F95" s="22"/>
      <c r="G95" s="22"/>
      <c r="H95" s="22"/>
      <c r="I95" s="22"/>
      <c r="J95" s="23">
        <f>IF(ISERROR(J84-J48-J49-J50-J51-J52-J53-J54-J55-J56-J57-J58),0,J84-J48-J49-J50-J51-J52-J53-J54-J55-J56-J57-J58)</f>
        <v>0</v>
      </c>
      <c r="K95" s="23">
        <f>IF(ISERROR(K84-K48-K49-K50-K51-K52-K53-K54-K55-K56-K57-K58),0,K84-K48-K49-K50-K51-K52-K53-K54-K55-K56-K57-K58)</f>
        <v>0</v>
      </c>
      <c r="L95" s="23">
        <f>IF(ISERROR(L84-L48-L49-L50-L51-L52-L53-L54-L55-L56-L57-L58),0,L84-L48-L49-L50-L51-L52-L53-L54-L55-L56-L57-L58)</f>
        <v>0</v>
      </c>
      <c r="M95" s="23">
        <f>IF(ISERROR(M84-M48-M49-M50-M51-M52-M53-M54-M55-M56-M57-M58),0,M84-M48-M49-M50-M51-M52-M53-M54-M55-M56-M57-M58)</f>
        <v>0</v>
      </c>
      <c r="N95" s="23">
        <f t="shared" si="12"/>
        <v>0</v>
      </c>
      <c r="O95" s="23"/>
      <c r="P95" s="23"/>
      <c r="Q95" s="23"/>
      <c r="R95" s="23"/>
      <c r="S95" s="23"/>
      <c r="T95" s="23"/>
      <c r="U95" s="23"/>
      <c r="V95" s="23"/>
      <c r="X95" s="15"/>
      <c r="Y95" s="41"/>
      <c r="Z95" s="15"/>
      <c r="AA95" s="42"/>
      <c r="AB95" s="36"/>
    </row>
    <row r="96" spans="2:28" ht="12.75" hidden="1">
      <c r="B96" s="22"/>
      <c r="C96" s="22"/>
      <c r="D96" s="22"/>
      <c r="E96" s="22"/>
      <c r="F96" s="22"/>
      <c r="G96" s="22"/>
      <c r="H96" s="22"/>
      <c r="I96" s="22"/>
      <c r="J96" s="23">
        <f>IF(ISERROR(J84-J48-J49-J50-J51-J52-J53-J54-J55-J56-J57-J58-J59),0,J84-J48-J49-J50-J51-J52-J53-J54-J55-J56-J57-J58-J59)</f>
        <v>0</v>
      </c>
      <c r="K96" s="23">
        <f>IF(ISERROR(K84-K48-K49-K50-K51-K52-K53-K54-K55-K56-K57-K58-K59),0,K84-K48-K49-K50-K51-K52-K53-K54-K55-K56-K57-K58-K59)</f>
        <v>0</v>
      </c>
      <c r="L96" s="23">
        <f>IF(ISERROR(L84-L48-L49-L50-L51-L52-L53-L54-L55-L56-L57-L58-L59),0,L84-L48-L49-L50-L51-L52-L53-L54-L55-L56-L57-L58-L59)</f>
        <v>0</v>
      </c>
      <c r="M96" s="23">
        <f>IF(ISERROR(M84-M48-M49-M50-M51-M52-M53-M54-M55-M56-M57-M58-M59),0,M84-M48-M49-M50-M51-M52-M53-M54-M55-M56-M57-M58-M59)</f>
        <v>0</v>
      </c>
      <c r="N96" s="23">
        <f t="shared" si="12"/>
        <v>0</v>
      </c>
      <c r="O96" s="23"/>
      <c r="P96" s="23"/>
      <c r="Q96" s="23"/>
      <c r="R96" s="23"/>
      <c r="S96" s="23"/>
      <c r="T96" s="23"/>
      <c r="U96" s="23"/>
      <c r="V96" s="23"/>
      <c r="X96" s="15"/>
      <c r="Y96" s="41"/>
      <c r="Z96" s="15"/>
      <c r="AA96" s="42"/>
      <c r="AB96" s="36"/>
    </row>
    <row r="97" spans="2:28" ht="12.75" hidden="1">
      <c r="B97" s="22"/>
      <c r="C97" s="22"/>
      <c r="D97" s="22"/>
      <c r="E97" s="22"/>
      <c r="F97" s="22"/>
      <c r="G97" s="22"/>
      <c r="H97" s="22"/>
      <c r="I97" s="22"/>
      <c r="J97" s="23">
        <f>IF(ISERROR(J84-J48-J49-J50-J51-J52-J53-J54-J55-J56-J57-J58-J59-J60),0,J84-J48-J49-J50-J51-J52-J53-J54-J55-J56-J57-J58-J59-J60)</f>
        <v>0</v>
      </c>
      <c r="K97" s="23">
        <f>IF(ISERROR(K84-K48-K49-K50-K51-K52-K53-K54-K55-K56-K57-K58-K59-K60),0,K84-K48-K49-K50-K51-K52-K53-K54-K55-K56-K57-K58-K59-K60)</f>
        <v>0</v>
      </c>
      <c r="L97" s="23">
        <f>IF(ISERROR(L84-L48-L49-L50-L51-L52-L53-L54-L55-L56-L57-L58-L59-L60),0,L84-L48-L49-L50-L51-L52-L53-L54-L55-L56-L57-L58-L59-L60)</f>
        <v>0</v>
      </c>
      <c r="M97" s="23">
        <f>IF(ISERROR(M84-M48-M49-M50-M51-M52-M53-M54-M55-M56-M57-M58-M59-M60),0,M84-M48-M49-M50-M51-M52-M53-M54-M55-M56-M57-M58-M59-M60)</f>
        <v>0</v>
      </c>
      <c r="N97" s="23">
        <f t="shared" si="12"/>
        <v>0</v>
      </c>
      <c r="O97" s="23"/>
      <c r="P97" s="23"/>
      <c r="Q97" s="23"/>
      <c r="R97" s="23"/>
      <c r="S97" s="23"/>
      <c r="T97" s="23"/>
      <c r="U97" s="23"/>
      <c r="V97" s="23"/>
      <c r="X97" s="15"/>
      <c r="Y97" s="41"/>
      <c r="Z97" s="15"/>
      <c r="AA97" s="42"/>
      <c r="AB97" s="36"/>
    </row>
    <row r="98" spans="2:28" ht="12.75" hidden="1">
      <c r="B98" s="22"/>
      <c r="C98" s="22"/>
      <c r="D98" s="22"/>
      <c r="E98" s="22"/>
      <c r="F98" s="22"/>
      <c r="G98" s="22"/>
      <c r="H98" s="22"/>
      <c r="I98" s="22"/>
      <c r="J98" s="23">
        <f>IF(ISERROR(J84-J48-J49-J50-J51-J52-J53-J54-J55-J56-J57-J58-J59-J60-J61),0,J84-J48-J49-J50-J51-J52-J53-J54-J55-J56-J57-J58-J59-J60-J61)</f>
        <v>0</v>
      </c>
      <c r="K98" s="23">
        <f>IF(ISERROR(K84-K48-K49-K50-K51-K52-K53-K54-K55-K56-K57-K58-K59-K60-K61),0,K84-K48-K49-K50-K51-K52-K53-K54-K55-K56-K57-K58-K59-K60-K61)</f>
        <v>0</v>
      </c>
      <c r="L98" s="23">
        <f>IF(ISERROR(L84-L48-L49-L50-L51-L52-L53-L54-L55-L56-L57-L58-L59-L60-L61),0,L84-L48-L49-L50-L51-L52-L53-L54-L55-L56-L57-L58-L59-L60-L61)</f>
        <v>0</v>
      </c>
      <c r="M98" s="23">
        <f>IF(ISERROR(M84-M48-M49-M50-M51-M52-M53-M54-M55-M56-M57-M58-M59-M60-M61),0,M84-M48-M49-M50-M51-M52-M53-M54-M55-M56-M57-M58-M59-M60-M61)</f>
        <v>0</v>
      </c>
      <c r="N98" s="23">
        <f t="shared" si="12"/>
        <v>0</v>
      </c>
      <c r="O98" s="23"/>
      <c r="P98" s="23"/>
      <c r="Q98" s="23"/>
      <c r="R98" s="23"/>
      <c r="S98" s="23"/>
      <c r="T98" s="23"/>
      <c r="U98" s="23"/>
      <c r="V98" s="23"/>
      <c r="X98" s="15"/>
      <c r="Y98" s="41"/>
      <c r="Z98" s="15"/>
      <c r="AA98" s="42"/>
      <c r="AB98" s="36"/>
    </row>
    <row r="99" spans="2:28" ht="12.75" hidden="1">
      <c r="B99" s="22"/>
      <c r="C99" s="22"/>
      <c r="D99" s="22"/>
      <c r="E99" s="22"/>
      <c r="F99" s="22"/>
      <c r="G99" s="22"/>
      <c r="H99" s="22"/>
      <c r="I99" s="22"/>
      <c r="J99" s="23">
        <f>IF(ISERROR(J84-J48-J49-J50-J51-J52-J53-J54-J55-J56-J57-J58-J59-J60-J61-J62),0,J84-J48-J49-J50-J51-J52-J53-J54-J55-J56-J57-J58-J59-J60-J61-J62)</f>
        <v>0</v>
      </c>
      <c r="K99" s="23">
        <f>IF(ISERROR(K84-K48-K49-K50-K51-K52-K53-K54-K55-K56-K57-K58-K59-K60-K61-K62),0,K84-K48-K49-K50-K51-K52-K53-K54-K55-K56-K57-K58-K59-K60-K61-K62)</f>
        <v>0</v>
      </c>
      <c r="L99" s="23">
        <f>IF(ISERROR(L84-L48-L49-L50-L51-L52-L53-L54-L55-L56-L57-L58-L59-L60-L61-L62),0,L84-L48-L49-L50-L51-L52-L53-L54-L55-L56-L57-L58-L59-L60-L61-L62)</f>
        <v>0</v>
      </c>
      <c r="M99" s="23">
        <f>IF(ISERROR(M84-M48-M49-M50-M51-M52-M53-M54-M55-M56-M57-M58-M59-M60-M61-M62),0,M84-M48-M49-M50-M51-M52-M53-M54-M55-M56-M57-M58-M59-M60-M61-M62)</f>
        <v>0</v>
      </c>
      <c r="N99" s="23">
        <f t="shared" si="12"/>
        <v>0</v>
      </c>
      <c r="O99" s="23"/>
      <c r="P99" s="23"/>
      <c r="Q99" s="23"/>
      <c r="R99" s="23"/>
      <c r="S99" s="23"/>
      <c r="T99" s="23"/>
      <c r="U99" s="23"/>
      <c r="V99" s="23"/>
      <c r="X99" s="15"/>
      <c r="Y99" s="41"/>
      <c r="Z99" s="15"/>
      <c r="AA99" s="42"/>
      <c r="AB99" s="36"/>
    </row>
    <row r="100" spans="2:28" ht="12.75" hidden="1">
      <c r="B100" s="22"/>
      <c r="C100" s="22"/>
      <c r="D100" s="22"/>
      <c r="E100" s="22"/>
      <c r="F100" s="22"/>
      <c r="G100" s="22"/>
      <c r="H100" s="22"/>
      <c r="I100" s="22"/>
      <c r="J100" s="23">
        <f>IF(ISERROR(J84-J48-J49-J50-J51-J52-J53-J54-J55-J56-J57-J58-J59-J60-J61-J62-J63),0,J84-J48-J49-J50-J51-J52-J53-J54-J55-J56-J57-J58-J59-J60-J61-J62-J63)</f>
        <v>0</v>
      </c>
      <c r="K100" s="23">
        <f>IF(ISERROR(K84-K48-K49-K50-K51-K52-K53-K54-K55-K56-K57-K58-K59-K60-K61-K62-K63),0,K84-K48-K49-K50-K51-K52-K53-K54-K55-K56-K57-K58-K59-K60-K61-K62-K63)</f>
        <v>0</v>
      </c>
      <c r="L100" s="23">
        <f>IF(ISERROR(L84-L48-L49-L50-L51-L52-L53-L54-L55-L56-L57-L58-L59-L60-L61-L62-L63),0,L84-L48-L49-L50-L51-L52-L53-L54-L55-L56-L57-L58-L59-L60-L61-L62-L63)</f>
        <v>0</v>
      </c>
      <c r="M100" s="23">
        <f>IF(ISERROR(M84-M48-M49-M50-M51-M52-M53-M54-M55-M56-M57-M58-M59-M60-M61-M62-M63),0,M84-M48-M49-M50-M51-M52-M53-M54-M55-M56-M57-M58-M59-M60-M61-M62-M63)</f>
        <v>0</v>
      </c>
      <c r="N100" s="23">
        <f t="shared" si="12"/>
        <v>0</v>
      </c>
      <c r="O100" s="23"/>
      <c r="P100" s="23"/>
      <c r="Q100" s="23"/>
      <c r="R100" s="23"/>
      <c r="S100" s="23"/>
      <c r="T100" s="23"/>
      <c r="U100" s="23"/>
      <c r="V100" s="23"/>
      <c r="X100" s="15"/>
      <c r="Y100" s="41"/>
      <c r="Z100" s="15"/>
      <c r="AA100" s="42"/>
      <c r="AB100" s="36"/>
    </row>
    <row r="101" spans="2:28" ht="12.75" hidden="1">
      <c r="B101" s="22"/>
      <c r="C101" s="22"/>
      <c r="D101" s="22"/>
      <c r="E101" s="22"/>
      <c r="F101" s="22"/>
      <c r="G101" s="22"/>
      <c r="H101" s="22"/>
      <c r="I101" s="22"/>
      <c r="J101" s="23">
        <f>IF(ISERROR(J84-J48-J49-J50-J51-J52-J53-J54-J55-J56-J57-J58-J59-J60-J61-J62-J63-J64),0,J84-J48-J49-J50-J51-J52-J53-J54-J55-J56-J57-J58-J59-J60-J61-J62-J63-J64)</f>
        <v>0</v>
      </c>
      <c r="K101" s="23">
        <f>IF(ISERROR(K84-K48-K49-K50-K51-K52-K53-K54-K55-K56-K57-K58-K59-K60-K61-K62-K63-K64),0,K84-K48-K49-K50-K51-K52-K53-K54-K55-K56-K57-K58-K59-K60-K61-K62-K63-K64)</f>
        <v>0</v>
      </c>
      <c r="L101" s="23">
        <f>IF(ISERROR(L84-L48-L49-L50-L51-L52-L53-L54-L55-L56-L57-L58-L59-L60-L61-L62-L63-L64),0,L84-L48-L49-L50-L51-L52-L53-L54-L55-L56-L57-L58-L59-L60-L61-L62-L63-L64)</f>
        <v>0</v>
      </c>
      <c r="M101" s="23">
        <f>IF(ISERROR(M84-M48-M49-M50-M51-M52-M53-M54-M55-M56-M57-M58-M59-M60-M61-M62-M63-M64),0,M84-M48-M49-M50-M51-M52-M53-M54-M55-M56-M57-M58-M59-M60-M61-M62-M63-M64)</f>
        <v>0</v>
      </c>
      <c r="N101" s="23">
        <f t="shared" si="12"/>
        <v>0</v>
      </c>
      <c r="O101" s="23"/>
      <c r="P101" s="23"/>
      <c r="Q101" s="23"/>
      <c r="R101" s="23"/>
      <c r="S101" s="23"/>
      <c r="T101" s="23"/>
      <c r="U101" s="23"/>
      <c r="V101" s="23"/>
      <c r="X101" s="15"/>
      <c r="Y101" s="41"/>
      <c r="Z101" s="15"/>
      <c r="AA101" s="42"/>
      <c r="AB101" s="36"/>
    </row>
    <row r="102" spans="2:28" ht="12.75" hidden="1">
      <c r="B102" s="22"/>
      <c r="C102" s="22"/>
      <c r="D102" s="22"/>
      <c r="E102" s="22"/>
      <c r="F102" s="22"/>
      <c r="G102" s="22"/>
      <c r="H102" s="22"/>
      <c r="I102" s="22"/>
      <c r="J102" s="23">
        <f>IF(ISERROR(J84-J48-J49-J50-J51-J52-J53-J54-J55-J56-J57-J58-J59-J60-J61-J62-J63-J64-J65),0,J84-J48-J49-J50-J51-J52-J53-J54-J55-J56-J57-J58-J59-J60-J61-J62-J63-J64-J65)</f>
        <v>0</v>
      </c>
      <c r="K102" s="23">
        <f>IF(ISERROR(K84-K48-K49-K50-K51-K52-K53-K54-K55-K56-K57-K58-K59-K60-K61-K62-K63-K64-K65),0,K84-K48-K49-K50-K51-K52-K53-K54-K55-K56-K57-K58-K59-K60-K61-K62-K63-K64-K65)</f>
        <v>0</v>
      </c>
      <c r="L102" s="23">
        <f>IF(ISERROR(L84-L48-L49-L50-L51-L52-L53-L54-L55-L56-L57-L58-L59-L60-L61-L62-L63-L64-L65),0,L84-L48-L49-L50-L51-L52-L53-L54-L55-L56-L57-L58-L59-L60-L61-L62-L63-L64-L65)</f>
        <v>0</v>
      </c>
      <c r="M102" s="23">
        <f>IF(ISERROR(M84-M48-M49-M50-M51-M52-M53-M54-M55-M56-M57-M58-M59-M60-M61-M62-M63-M64-M65),0,M84-M48-M49-M50-M51-M52-M53-M54-M55-M56-M57-M58-M59-M60-M61-M62-M63-M64-M65)</f>
        <v>0</v>
      </c>
      <c r="N102" s="23">
        <f t="shared" si="12"/>
        <v>0</v>
      </c>
      <c r="O102" s="23"/>
      <c r="P102" s="23"/>
      <c r="Q102" s="23"/>
      <c r="R102" s="23"/>
      <c r="S102" s="23"/>
      <c r="T102" s="23"/>
      <c r="U102" s="23"/>
      <c r="V102" s="23"/>
      <c r="X102" s="15"/>
      <c r="Y102" s="41"/>
      <c r="Z102" s="15"/>
      <c r="AA102" s="42"/>
      <c r="AB102" s="36"/>
    </row>
    <row r="103" spans="2:28" ht="12.75" hidden="1">
      <c r="B103" s="22"/>
      <c r="C103" s="22"/>
      <c r="D103" s="22"/>
      <c r="E103" s="22"/>
      <c r="F103" s="22"/>
      <c r="G103" s="22"/>
      <c r="H103" s="22"/>
      <c r="I103" s="22"/>
      <c r="J103" s="23">
        <f>IF(ISERROR(J84-J48-J49-J50-J51-J52-J53-J54-J55-J56-J57-J58-J59-J60-J61-J62-J63-J64-J65-J66),0,J84-J48-J49-J50-J51-J52-J53-J54-J55-J56-J57-J58-J59-J60-J61-J62-J63-J64-J65-J66)</f>
        <v>0</v>
      </c>
      <c r="K103" s="23">
        <f>IF(ISERROR(K84-K48-K49-K50-K51-K52-K53-K54-K55-K56-K57-K58-K59-K60-K61-K62-K63-K64-K65-K66),0,K84-K48-K49-K50-K51-K52-K53-K54-K55-K56-K57-K58-K59-K60-K61-K62-K63-K64-K65-K66)</f>
        <v>0</v>
      </c>
      <c r="L103" s="23">
        <f>IF(ISERROR(L84-L48-L49-L50-L51-L52-L53-L54-L55-L56-L57-L58-L59-L60-L61-L62-L63-L64-L65-L66),0,L84-L48-L49-L50-L51-L52-L53-L54-L55-L56-L57-L58-L59-L60-L61-L62-L63-L64-L65-L66)</f>
        <v>0</v>
      </c>
      <c r="M103" s="23">
        <f>IF(ISERROR(M84-M48-M49-M50-M51-M52-M53-M54-M55-M56-M57-M58-M59-M60-M61-M62-M63-M64-M65-M66),0,M84-M48-M49-M50-M51-M52-M53-M54-M55-M56-M57-M58-M59-M60-M61-M62-M63-M64-M65-M66)</f>
        <v>0</v>
      </c>
      <c r="N103" s="23">
        <f t="shared" si="12"/>
        <v>0</v>
      </c>
      <c r="O103" s="23"/>
      <c r="P103" s="23"/>
      <c r="Q103" s="23"/>
      <c r="R103" s="23"/>
      <c r="S103" s="23"/>
      <c r="T103" s="23"/>
      <c r="U103" s="23"/>
      <c r="V103" s="23"/>
      <c r="X103" s="15"/>
      <c r="Y103" s="41"/>
      <c r="Z103" s="15"/>
      <c r="AA103" s="42"/>
      <c r="AB103" s="36"/>
    </row>
    <row r="104" spans="2:22" ht="12.75" hidden="1">
      <c r="B104" s="22"/>
      <c r="C104" s="22"/>
      <c r="D104" s="22"/>
      <c r="E104" s="22"/>
      <c r="F104" s="22">
        <f>SUM(F85:F103)</f>
        <v>0</v>
      </c>
      <c r="G104" s="22"/>
      <c r="H104" s="22"/>
      <c r="I104" s="22" t="s">
        <v>141</v>
      </c>
      <c r="J104" s="23">
        <f>SUM(SUMIF($E$85:$E$94,J79,$J$85:$J$93),SUMIF($E$85:$E$94,J80,$J$85:$J$94))</f>
        <v>0</v>
      </c>
      <c r="K104" s="23">
        <f>SUM(SUMIF($E$85:$E$94,K79,K$85:K$93),SUMIF($E$85:$E$94,K80,K$85:K$94))</f>
        <v>0</v>
      </c>
      <c r="L104" s="23">
        <f>SUM(SUMIF($E$85:$E$94,L79,L$85:L$93),SUMIF($E$85:$E$94,L80,L$85:L$94))</f>
        <v>0</v>
      </c>
      <c r="M104" s="23">
        <f>SUMIF($E$85:$E$94,M79,M$85:M$93)+SUMIF($E$85:$E$94,M80,M$85:M$94)</f>
        <v>0</v>
      </c>
      <c r="N104" s="23">
        <f t="shared" si="12"/>
        <v>0</v>
      </c>
      <c r="O104" s="23"/>
      <c r="P104" s="23"/>
      <c r="Q104" s="23"/>
      <c r="R104" s="23"/>
      <c r="S104" s="23"/>
      <c r="T104" s="23"/>
      <c r="U104" s="23"/>
      <c r="V104" s="23"/>
    </row>
    <row r="105" spans="2:9" ht="12.75" hidden="1">
      <c r="B105" s="22"/>
      <c r="C105" s="22"/>
      <c r="D105" s="22"/>
      <c r="E105" s="22"/>
      <c r="F105" s="22"/>
      <c r="G105" s="22"/>
      <c r="H105" s="22"/>
      <c r="I105" s="22"/>
    </row>
    <row r="106" spans="1:39" s="44" customFormat="1" ht="12.75" hidden="1">
      <c r="A106" s="43"/>
      <c r="W106" s="45"/>
      <c r="X106" s="45"/>
      <c r="Y106" s="45"/>
      <c r="Z106" s="45"/>
      <c r="AA106" s="45"/>
      <c r="AB106" s="45"/>
      <c r="AC106" s="45"/>
      <c r="AD106" s="45"/>
      <c r="AE106" s="45"/>
      <c r="AF106" s="45"/>
      <c r="AG106" s="45"/>
      <c r="AH106" s="45"/>
      <c r="AI106" s="45"/>
      <c r="AJ106" s="45"/>
      <c r="AK106" s="45"/>
      <c r="AL106" s="45"/>
      <c r="AM106" s="45"/>
    </row>
    <row r="107" spans="8:14" ht="12.75" hidden="1">
      <c r="H107" s="22" t="s">
        <v>117</v>
      </c>
      <c r="I107" s="16" t="s">
        <v>110</v>
      </c>
      <c r="J107" s="16" t="s">
        <v>116</v>
      </c>
      <c r="K107" s="16" t="s">
        <v>118</v>
      </c>
      <c r="L107" s="16" t="s">
        <v>119</v>
      </c>
      <c r="M107" s="16" t="s">
        <v>120</v>
      </c>
      <c r="N107" s="16" t="s">
        <v>130</v>
      </c>
    </row>
    <row r="108" spans="6:14" ht="12.75" hidden="1">
      <c r="F108" s="16">
        <f>IF($K108&gt;1,F$82,"")</f>
        <v>0</v>
      </c>
      <c r="H108" s="27">
        <v>1</v>
      </c>
      <c r="I108" s="16">
        <f>IF($K108="","",acct1_on)</f>
      </c>
      <c r="J108" s="16">
        <f>IF($K108="","",dos_1_on)</f>
      </c>
      <c r="K108" s="46">
        <f>IF(J$48&gt;0.01,J$48,"")</f>
      </c>
      <c r="L108" s="16">
        <f aca="true" t="shared" si="16" ref="L108:L143">IF(K108="","",(SUMIF($J$108:$J$143,J108,$K$108:$K$143)))</f>
      </c>
      <c r="M108" s="47">
        <f aca="true" t="shared" si="17" ref="M108:M143">IF(ISERROR(K108/SUMIF($J$37:$M$37,J108,$J$43:$M$43)),"",(K108/SUMIF($J$37:$M$37,J108,$J$43:$M$43)))</f>
      </c>
      <c r="N108" s="47">
        <f>IF(OR(fundtype1=2,fundtype1=3),J$85/dos1_total_on,"")</f>
      </c>
    </row>
    <row r="109" spans="8:14" ht="12.75" hidden="1">
      <c r="H109" s="27">
        <v>1</v>
      </c>
      <c r="I109" s="16">
        <f>IF($K109="","",acct1_on)</f>
      </c>
      <c r="J109" s="16">
        <f>IF($K109="","",dos_2_on)</f>
      </c>
      <c r="K109" s="46">
        <f>IF(K$48&gt;0.01,K$48,"")</f>
      </c>
      <c r="L109" s="16">
        <f t="shared" si="16"/>
      </c>
      <c r="M109" s="47">
        <f t="shared" si="17"/>
      </c>
      <c r="N109" s="47">
        <f>IF(OR(fundtype1=2,fundtype1=3),K$85/dos2_total_on,"")</f>
      </c>
    </row>
    <row r="110" spans="8:14" ht="12.75" hidden="1">
      <c r="H110" s="27">
        <v>1</v>
      </c>
      <c r="I110" s="16">
        <f>IF($K110="","",acct1_on)</f>
      </c>
      <c r="J110" s="16">
        <f>IF($K110="","",dos_3_on)</f>
      </c>
      <c r="K110" s="46">
        <f>IF(L$48&gt;0.01,L$48,"")</f>
      </c>
      <c r="L110" s="16">
        <f t="shared" si="16"/>
      </c>
      <c r="M110" s="47">
        <f t="shared" si="17"/>
      </c>
      <c r="N110" s="47">
        <f>IF(OR(fundtype1=2,fundtype1=3),L$85/dos3_total_on,"")</f>
      </c>
    </row>
    <row r="111" spans="8:14" ht="12.75" hidden="1">
      <c r="H111" s="27">
        <v>1</v>
      </c>
      <c r="I111" s="16">
        <f>IF($K111="","",acct1_on)</f>
      </c>
      <c r="J111" s="16">
        <f>IF($K111="","",dos_4_on)</f>
      </c>
      <c r="K111" s="46">
        <f>IF(M$48&gt;0.01,M$48,"")</f>
      </c>
      <c r="L111" s="16">
        <f t="shared" si="16"/>
      </c>
      <c r="M111" s="47">
        <f t="shared" si="17"/>
      </c>
      <c r="N111" s="47">
        <f>IF(OR(fundtype1=2,fundtype1=3),M$85/dos4_total_on,"")</f>
      </c>
    </row>
    <row r="112" spans="8:14" ht="12.75" hidden="1">
      <c r="H112" s="27">
        <v>2</v>
      </c>
      <c r="I112" s="16">
        <f>IF($K112="","",acct2_on)</f>
      </c>
      <c r="J112" s="16">
        <f>IF($K112="","",dos_1_on)</f>
      </c>
      <c r="K112" s="46">
        <f>IF(J$49&gt;0.01,J$49,"")</f>
      </c>
      <c r="L112" s="16">
        <f t="shared" si="16"/>
      </c>
      <c r="M112" s="47">
        <f t="shared" si="17"/>
      </c>
      <c r="N112" s="47">
        <f>IF(OR(fundtype2=2,fundtype2=3),J$86/dos1_total_on,"")</f>
      </c>
    </row>
    <row r="113" spans="8:14" ht="12.75" hidden="1">
      <c r="H113" s="27">
        <v>2</v>
      </c>
      <c r="I113" s="16">
        <f>IF($K113="","",acct2_on)</f>
      </c>
      <c r="J113" s="16">
        <f>IF($K113="","",dos_2_on)</f>
      </c>
      <c r="K113" s="46">
        <f>IF(K$49&gt;0.01,K$49,"")</f>
      </c>
      <c r="L113" s="16">
        <f t="shared" si="16"/>
      </c>
      <c r="M113" s="47">
        <f t="shared" si="17"/>
      </c>
      <c r="N113" s="47">
        <f>IF(OR(fundtype2=2,fundtype2=3),K$86/dos2_total_on,"")</f>
      </c>
    </row>
    <row r="114" spans="8:14" ht="12.75" hidden="1">
      <c r="H114" s="27">
        <v>2</v>
      </c>
      <c r="I114" s="16">
        <f>IF($K114="","",acct2_on)</f>
      </c>
      <c r="J114" s="16">
        <f>IF($K114="","",dos_3_on)</f>
      </c>
      <c r="K114" s="46">
        <f>IF(L$49&gt;0.01,L$49,"")</f>
      </c>
      <c r="L114" s="16">
        <f t="shared" si="16"/>
      </c>
      <c r="M114" s="47">
        <f t="shared" si="17"/>
      </c>
      <c r="N114" s="47">
        <f>IF(OR(fundtype2=2,fundtype2=3),L$86/dos3_total_on,"")</f>
      </c>
    </row>
    <row r="115" spans="8:14" ht="12.75" hidden="1">
      <c r="H115" s="27">
        <v>2</v>
      </c>
      <c r="I115" s="16">
        <f>IF($K115="","",acct2_on)</f>
      </c>
      <c r="J115" s="16">
        <f>IF($K115="","",dos_4_on)</f>
      </c>
      <c r="K115" s="46">
        <f>IF(M$49&gt;0,M$49,"")</f>
      </c>
      <c r="L115" s="16">
        <f t="shared" si="16"/>
      </c>
      <c r="M115" s="47">
        <f t="shared" si="17"/>
      </c>
      <c r="N115" s="47">
        <f>IF(OR(fundtype2=2,fundtype2=3),M$86/dos4_total_on,"")</f>
      </c>
    </row>
    <row r="116" spans="8:14" ht="12.75" hidden="1">
      <c r="H116" s="27">
        <v>3</v>
      </c>
      <c r="I116" s="16">
        <f>IF($K116="","",acct3_on)</f>
      </c>
      <c r="J116" s="16">
        <f>IF($K116="","",dos_1_on)</f>
      </c>
      <c r="K116" s="46">
        <f>IF(J$50&gt;0.01,J$50,"")</f>
      </c>
      <c r="L116" s="16">
        <f t="shared" si="16"/>
      </c>
      <c r="M116" s="47">
        <f t="shared" si="17"/>
      </c>
      <c r="N116" s="47"/>
    </row>
    <row r="117" spans="8:14" ht="12.75" hidden="1">
      <c r="H117" s="27">
        <v>3</v>
      </c>
      <c r="I117" s="16">
        <f>IF($K117="","",acct3_on)</f>
      </c>
      <c r="J117" s="16">
        <f>IF($K117="","",dos_2_on)</f>
      </c>
      <c r="K117" s="46">
        <f>IF(K$50&gt;0.01,K$50,"")</f>
      </c>
      <c r="L117" s="16">
        <f t="shared" si="16"/>
      </c>
      <c r="M117" s="47">
        <f t="shared" si="17"/>
      </c>
      <c r="N117" s="47"/>
    </row>
    <row r="118" spans="8:14" ht="12.75" hidden="1">
      <c r="H118" s="27">
        <v>3</v>
      </c>
      <c r="I118" s="16">
        <f>IF($K118="","",acct3_on)</f>
      </c>
      <c r="J118" s="16">
        <f>IF($K118="","",dos_3_on)</f>
      </c>
      <c r="K118" s="46">
        <f>IF(L$50&gt;0.01,L$50,"")</f>
      </c>
      <c r="L118" s="16">
        <f t="shared" si="16"/>
      </c>
      <c r="M118" s="47">
        <f t="shared" si="17"/>
      </c>
      <c r="N118" s="47"/>
    </row>
    <row r="119" spans="8:14" ht="12.75" hidden="1">
      <c r="H119" s="27">
        <v>3</v>
      </c>
      <c r="I119" s="16">
        <f>IF($K119="","",acct3_on)</f>
      </c>
      <c r="J119" s="16">
        <f>IF($K119="","",dos_4_on)</f>
      </c>
      <c r="K119" s="46">
        <f>IF(M$50&gt;0.01,M$50,"")</f>
      </c>
      <c r="L119" s="16">
        <f t="shared" si="16"/>
      </c>
      <c r="M119" s="47">
        <f t="shared" si="17"/>
      </c>
      <c r="N119" s="47"/>
    </row>
    <row r="120" spans="8:14" ht="12.75" hidden="1">
      <c r="H120" s="27">
        <v>4</v>
      </c>
      <c r="I120" s="16">
        <f>IF($K120="","",acct4_on)</f>
      </c>
      <c r="J120" s="16">
        <f>IF($K120="","",dos_1_on)</f>
      </c>
      <c r="K120" s="46">
        <f>IF(J$51&gt;0.01,J$51,"")</f>
      </c>
      <c r="L120" s="16">
        <f t="shared" si="16"/>
      </c>
      <c r="M120" s="47">
        <f t="shared" si="17"/>
      </c>
      <c r="N120" s="47">
        <f>IF(OR(fundtype4=2,fundtype4=3),J$88/dos1_total_on,"")</f>
      </c>
    </row>
    <row r="121" spans="8:14" ht="12.75" hidden="1">
      <c r="H121" s="27">
        <v>4</v>
      </c>
      <c r="I121" s="16">
        <f>IF($K121="","",acct4_on)</f>
      </c>
      <c r="J121" s="16">
        <f>IF($K121="","",dos_2_on)</f>
      </c>
      <c r="K121" s="46">
        <f>IF(K$51&gt;0.01,K$51,"")</f>
      </c>
      <c r="L121" s="16">
        <f t="shared" si="16"/>
      </c>
      <c r="M121" s="47">
        <f t="shared" si="17"/>
      </c>
      <c r="N121" s="47">
        <f>IF(OR(fundtype4=2,fundtype4=3),K$88/dos2_total_on,"")</f>
      </c>
    </row>
    <row r="122" spans="8:14" ht="12.75" hidden="1">
      <c r="H122" s="27">
        <v>4</v>
      </c>
      <c r="I122" s="16">
        <f>IF($K122="","",acct4_on)</f>
      </c>
      <c r="J122" s="16">
        <f>IF($K122="","",dos_3_on)</f>
      </c>
      <c r="K122" s="46">
        <f>IF(L$51&gt;0.01,L$51,"")</f>
      </c>
      <c r="L122" s="16">
        <f t="shared" si="16"/>
      </c>
      <c r="M122" s="47">
        <f t="shared" si="17"/>
      </c>
      <c r="N122" s="47">
        <f>IF(OR(fundtype4=2,fundtype4=3),L$88/dos3_total_on,"")</f>
      </c>
    </row>
    <row r="123" spans="8:14" ht="12.75" hidden="1">
      <c r="H123" s="27">
        <v>4</v>
      </c>
      <c r="I123" s="16">
        <f>IF($K123="","",acct4_on)</f>
      </c>
      <c r="J123" s="16">
        <f>IF($K123="","",dos_4_on)</f>
      </c>
      <c r="K123" s="46">
        <f>IF(M$51&gt;0.01,M$51,"")</f>
      </c>
      <c r="L123" s="16">
        <f t="shared" si="16"/>
      </c>
      <c r="M123" s="47">
        <f t="shared" si="17"/>
      </c>
      <c r="N123" s="47">
        <f>IF(OR(fundtype4=2,fundtype4=3),M$88/dos4_total_on,"")</f>
      </c>
    </row>
    <row r="124" spans="8:14" ht="12.75" hidden="1">
      <c r="H124" s="27">
        <v>5</v>
      </c>
      <c r="I124" s="16">
        <f>IF($K124="","",acct5_on)</f>
      </c>
      <c r="J124" s="16">
        <f>IF($K124="","",dos_1_on)</f>
      </c>
      <c r="K124" s="46">
        <f>IF(J$52&gt;0.01,J$52,"")</f>
      </c>
      <c r="L124" s="16">
        <f t="shared" si="16"/>
      </c>
      <c r="M124" s="47">
        <f t="shared" si="17"/>
      </c>
      <c r="N124" s="47">
        <f>IF(OR(fundtype5=2,fundtype5=3),J$89/dos1_total_on,"")</f>
      </c>
    </row>
    <row r="125" spans="8:14" ht="12.75" hidden="1">
      <c r="H125" s="27">
        <v>5</v>
      </c>
      <c r="I125" s="16">
        <f>IF($K125="","",acct5_on)</f>
      </c>
      <c r="J125" s="16">
        <f>IF($K125="","",dos_2_on)</f>
      </c>
      <c r="K125" s="46">
        <f>IF(K$52&gt;0.01,K$52,"")</f>
      </c>
      <c r="L125" s="16">
        <f t="shared" si="16"/>
      </c>
      <c r="M125" s="47">
        <f t="shared" si="17"/>
      </c>
      <c r="N125" s="47">
        <f>IF(OR(fundtype5=2,fundtype5=3),K$89/dos2_total_on,"")</f>
      </c>
    </row>
    <row r="126" spans="8:14" ht="12.75" hidden="1">
      <c r="H126" s="27">
        <v>5</v>
      </c>
      <c r="I126" s="16">
        <f>IF($K126="","",acct5_on)</f>
      </c>
      <c r="J126" s="16">
        <f>IF($K126="","",dos_3_on)</f>
      </c>
      <c r="K126" s="46">
        <f>IF(L$52&gt;0.01,L$52,"")</f>
      </c>
      <c r="L126" s="16">
        <f t="shared" si="16"/>
      </c>
      <c r="M126" s="47">
        <f t="shared" si="17"/>
      </c>
      <c r="N126" s="47">
        <f>IF(OR(fundtype5=2,fundtype5=3),L$89/dos3_total_on,"")</f>
      </c>
    </row>
    <row r="127" spans="8:14" ht="12.75" hidden="1">
      <c r="H127" s="27">
        <v>5</v>
      </c>
      <c r="I127" s="16">
        <f>IF($K127="","",acct5_on)</f>
      </c>
      <c r="J127" s="16">
        <f>IF($K127="","",dos_4_on)</f>
      </c>
      <c r="K127" s="46">
        <f>IF(M$52&gt;0.01,M$52,"")</f>
      </c>
      <c r="L127" s="16">
        <f t="shared" si="16"/>
      </c>
      <c r="M127" s="47">
        <f t="shared" si="17"/>
      </c>
      <c r="N127" s="47">
        <f>IF(OR(fundtype5=2,fundtype5=3),M$89/dos4_total_on,"")</f>
      </c>
    </row>
    <row r="128" spans="8:14" ht="12.75" hidden="1">
      <c r="H128" s="27">
        <v>6</v>
      </c>
      <c r="I128" s="16">
        <f>IF($K128="","",acct6_on)</f>
      </c>
      <c r="J128" s="16">
        <f>IF($K128="","",dos_1_on)</f>
      </c>
      <c r="K128" s="46">
        <f>IF(J$53&gt;0.01,J$53,"")</f>
      </c>
      <c r="L128" s="16">
        <f t="shared" si="16"/>
      </c>
      <c r="M128" s="47">
        <f t="shared" si="17"/>
      </c>
      <c r="N128" s="47">
        <f>IF(OR(fundtype6=2,fundtype6=3),J$90/dos1_total_on,"")</f>
      </c>
    </row>
    <row r="129" spans="8:14" ht="12.75" hidden="1">
      <c r="H129" s="27">
        <v>6</v>
      </c>
      <c r="I129" s="16">
        <f>IF($K129="","",acct6_on)</f>
      </c>
      <c r="J129" s="16">
        <f>IF($K129="","",dos_2_on)</f>
      </c>
      <c r="K129" s="46">
        <f>IF(K$53&gt;0.01,K$53,"")</f>
      </c>
      <c r="L129" s="16">
        <f t="shared" si="16"/>
      </c>
      <c r="M129" s="47">
        <f t="shared" si="17"/>
      </c>
      <c r="N129" s="47">
        <f>IF(OR(fundtype6=2,fundtype6=3),K$90/dos2_total_on,"")</f>
      </c>
    </row>
    <row r="130" spans="8:14" ht="12.75" hidden="1">
      <c r="H130" s="27">
        <v>6</v>
      </c>
      <c r="I130" s="16">
        <f>IF($K130="","",acct6_on)</f>
      </c>
      <c r="J130" s="16">
        <f>IF($K130="","",dos_3_on)</f>
      </c>
      <c r="K130" s="46">
        <f>IF(L$53&gt;0.01,L$53,"")</f>
      </c>
      <c r="L130" s="16">
        <f t="shared" si="16"/>
      </c>
      <c r="M130" s="47">
        <f t="shared" si="17"/>
      </c>
      <c r="N130" s="47">
        <f>IF(OR(fundtype6=2,fundtype6=3),L$90/dos3_total_on,"")</f>
      </c>
    </row>
    <row r="131" spans="8:14" ht="12.75" hidden="1">
      <c r="H131" s="27">
        <v>6</v>
      </c>
      <c r="I131" s="16">
        <f>IF($K131="","",acct6_on)</f>
      </c>
      <c r="J131" s="16">
        <f>IF($K131="","",dos_4_on)</f>
      </c>
      <c r="K131" s="46">
        <f>IF(M$53&gt;0.01,M$53,"")</f>
      </c>
      <c r="L131" s="16">
        <f t="shared" si="16"/>
      </c>
      <c r="M131" s="47">
        <f t="shared" si="17"/>
      </c>
      <c r="N131" s="47">
        <f>IF(OR(fundtype6=2,fundtype6=3),M$90/dos4_total_on,"")</f>
      </c>
    </row>
    <row r="132" spans="8:14" ht="12.75" hidden="1">
      <c r="H132" s="27">
        <v>7</v>
      </c>
      <c r="I132" s="16">
        <f>IF($K132="","",acct7_on)</f>
      </c>
      <c r="J132" s="16">
        <f>IF($K132="","",dos_1_on)</f>
      </c>
      <c r="K132" s="46">
        <f>IF(J$54&gt;0.01,J$54,"")</f>
      </c>
      <c r="L132" s="16">
        <f t="shared" si="16"/>
      </c>
      <c r="M132" s="47">
        <f t="shared" si="17"/>
      </c>
      <c r="N132" s="47">
        <f>IF(OR(fundtype8=2,fundtype8=3),J$91/dos1_total_on,"")</f>
      </c>
    </row>
    <row r="133" spans="8:14" ht="12.75" hidden="1">
      <c r="H133" s="27">
        <v>7</v>
      </c>
      <c r="I133" s="16">
        <f>IF($K133="","",acct7_on)</f>
      </c>
      <c r="J133" s="16">
        <f>IF($K133="","",dos_2_on)</f>
      </c>
      <c r="K133" s="46">
        <f>IF(K$54&gt;0.01,K$54,"")</f>
      </c>
      <c r="L133" s="16">
        <f t="shared" si="16"/>
      </c>
      <c r="M133" s="47">
        <f t="shared" si="17"/>
      </c>
      <c r="N133" s="47">
        <f>IF(OR(fundtype8=2,fundtype8=3),K$91/dos2_total_on,"")</f>
      </c>
    </row>
    <row r="134" spans="8:14" ht="12.75" hidden="1">
      <c r="H134" s="27">
        <v>7</v>
      </c>
      <c r="I134" s="16">
        <f>IF($K134="","",acct7_on)</f>
      </c>
      <c r="J134" s="16">
        <f>IF($K134="","",dos_3_on)</f>
      </c>
      <c r="K134" s="46">
        <f>IF(L$54&gt;0.01,L$54,"")</f>
      </c>
      <c r="L134" s="16">
        <f t="shared" si="16"/>
      </c>
      <c r="M134" s="47">
        <f t="shared" si="17"/>
      </c>
      <c r="N134" s="47">
        <f>IF(OR(fundtype8=2,fundtype8=3),L$91/dos3_total_on,"")</f>
      </c>
    </row>
    <row r="135" spans="8:14" ht="12.75" hidden="1">
      <c r="H135" s="27">
        <v>7</v>
      </c>
      <c r="I135" s="16">
        <f>IF($K135="","",acct7_on)</f>
      </c>
      <c r="J135" s="16">
        <f>IF($K135="","",dos_4_on)</f>
      </c>
      <c r="K135" s="46">
        <f>IF(M$54&gt;0.01,M$54,"")</f>
      </c>
      <c r="L135" s="16">
        <f t="shared" si="16"/>
      </c>
      <c r="M135" s="47">
        <f t="shared" si="17"/>
      </c>
      <c r="N135" s="47">
        <f>IF(OR(fundtype8=2,fundtype8=3),M$91/dos4_total_on,"")</f>
      </c>
    </row>
    <row r="136" spans="8:14" ht="12.75" hidden="1">
      <c r="H136" s="27">
        <v>8</v>
      </c>
      <c r="I136" s="16">
        <f>IF($K136="","",acct8_on)</f>
      </c>
      <c r="J136" s="16">
        <f>IF($K136="","",dos_1_on)</f>
      </c>
      <c r="K136" s="46">
        <f>IF(J$55&gt;0.01,J$55,"")</f>
      </c>
      <c r="L136" s="16">
        <f t="shared" si="16"/>
      </c>
      <c r="M136" s="47">
        <f t="shared" si="17"/>
      </c>
      <c r="N136" s="47">
        <f>IF(OR(fundtype8=2,fundtype8=3),J$92/dos1_total_on,"")</f>
      </c>
    </row>
    <row r="137" spans="8:14" ht="12.75" hidden="1">
      <c r="H137" s="27">
        <v>8</v>
      </c>
      <c r="I137" s="16">
        <f>IF($K137="","",acct8_on)</f>
      </c>
      <c r="J137" s="16">
        <f>IF($K137="","",dos_2_on)</f>
      </c>
      <c r="K137" s="46">
        <f>IF(K$55&gt;0.01,K$55,"")</f>
      </c>
      <c r="L137" s="16">
        <f t="shared" si="16"/>
      </c>
      <c r="M137" s="47">
        <f t="shared" si="17"/>
      </c>
      <c r="N137" s="47">
        <f>IF(OR(fundtype8=2,fundtype8=3),K$92/dos2_total_on,"")</f>
      </c>
    </row>
    <row r="138" spans="8:14" ht="12.75" hidden="1">
      <c r="H138" s="27">
        <v>8</v>
      </c>
      <c r="I138" s="16">
        <f>IF($K138="","",acct8_on)</f>
      </c>
      <c r="J138" s="16">
        <f>IF($K138="","",dos_3_on)</f>
      </c>
      <c r="K138" s="46">
        <f>IF(L$55&gt;0.01,L$55,"")</f>
      </c>
      <c r="L138" s="16">
        <f t="shared" si="16"/>
      </c>
      <c r="M138" s="47">
        <f t="shared" si="17"/>
      </c>
      <c r="N138" s="47">
        <f>IF(OR(fundtype8=2,fundtype8=3),L$92/dos3_total_on,"")</f>
      </c>
    </row>
    <row r="139" spans="8:14" ht="12.75" hidden="1">
      <c r="H139" s="27">
        <v>8</v>
      </c>
      <c r="I139" s="16">
        <f>IF($K139="","",acct8_on)</f>
      </c>
      <c r="J139" s="16">
        <f>IF($K139="","",dos_4_on)</f>
      </c>
      <c r="K139" s="46">
        <f>IF(M$55&gt;0.01,M$55,"")</f>
      </c>
      <c r="L139" s="16">
        <f t="shared" si="16"/>
      </c>
      <c r="M139" s="47">
        <f t="shared" si="17"/>
      </c>
      <c r="N139" s="47">
        <f>IF(OR(fundtype8=2,fundtype8=3),M$92/dos4_total_on,"")</f>
      </c>
    </row>
    <row r="140" spans="8:14" ht="12.75" hidden="1">
      <c r="H140" s="27">
        <v>9</v>
      </c>
      <c r="I140" s="16">
        <f>IF($K140="","",acct9_on)</f>
      </c>
      <c r="J140" s="16">
        <f>IF($K140="","",dos_1_on)</f>
      </c>
      <c r="K140" s="46">
        <f>IF(J$56&gt;0.01,J$56,"")</f>
      </c>
      <c r="L140" s="16">
        <f t="shared" si="16"/>
      </c>
      <c r="M140" s="47">
        <f t="shared" si="17"/>
      </c>
      <c r="N140" s="47">
        <f>IF(OR(fundtype9=2,fundtype9=3),J$92/dos1_total_on,"")</f>
      </c>
    </row>
    <row r="141" spans="8:14" ht="12.75" hidden="1">
      <c r="H141" s="27">
        <v>9</v>
      </c>
      <c r="I141" s="16">
        <f>IF($K141="","",acct9_on)</f>
      </c>
      <c r="J141" s="16">
        <f>IF($K141="","",dos_2_on)</f>
      </c>
      <c r="K141" s="46">
        <f>IF(K$56&gt;0.01,K$56,"")</f>
      </c>
      <c r="L141" s="16">
        <f t="shared" si="16"/>
      </c>
      <c r="M141" s="47">
        <f t="shared" si="17"/>
      </c>
      <c r="N141" s="47">
        <f>IF(OR(fundtype9=2,fundtype9=3),K$92/dos2_total_on,"")</f>
      </c>
    </row>
    <row r="142" spans="8:14" ht="12.75" hidden="1">
      <c r="H142" s="27">
        <v>9</v>
      </c>
      <c r="I142" s="16">
        <f>IF($K142="","",acct9_on)</f>
      </c>
      <c r="J142" s="16">
        <f>IF($K142="","",dos_3_on)</f>
      </c>
      <c r="K142" s="46">
        <f>IF(L$56&gt;0.01,L$56,"")</f>
      </c>
      <c r="L142" s="16">
        <f t="shared" si="16"/>
      </c>
      <c r="M142" s="47">
        <f t="shared" si="17"/>
      </c>
      <c r="N142" s="47">
        <f>IF(OR(fundtype9=2,fundtype9=3),L$92/dos3_total_on,"")</f>
      </c>
    </row>
    <row r="143" spans="8:14" ht="12.75" hidden="1">
      <c r="H143" s="27">
        <v>9</v>
      </c>
      <c r="I143" s="16">
        <f>IF($K143="","",acct9_on)</f>
      </c>
      <c r="J143" s="16">
        <f>IF($K143="","",dos_4_on)</f>
      </c>
      <c r="K143" s="46">
        <f>IF(M$56&gt;0.01,M$56,"")</f>
      </c>
      <c r="L143" s="16">
        <f t="shared" si="16"/>
      </c>
      <c r="M143" s="47">
        <f t="shared" si="17"/>
      </c>
      <c r="N143" s="47">
        <f>IF(OR(fundtype9=2,fundtype9=3),M$92/dos4_total_on,"")</f>
      </c>
    </row>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sheetData>
  <sheetProtection/>
  <mergeCells count="11">
    <mergeCell ref="Z27:AB27"/>
    <mergeCell ref="X27:Y27"/>
    <mergeCell ref="E27:F27"/>
    <mergeCell ref="I23:L23"/>
    <mergeCell ref="I9:L9"/>
    <mergeCell ref="R74:T74"/>
    <mergeCell ref="R71:T71"/>
    <mergeCell ref="R72:T73"/>
    <mergeCell ref="P36:U36"/>
    <mergeCell ref="P45:T45"/>
    <mergeCell ref="N69:P69"/>
  </mergeCells>
  <conditionalFormatting sqref="N27">
    <cfRule type="cellIs" priority="1" dxfId="0" operator="equal" stopIfTrue="1">
      <formula>"Yes"</formula>
    </cfRule>
  </conditionalFormatting>
  <dataValidations count="9">
    <dataValidation type="whole" allowBlank="1" showInputMessage="1" showErrorMessage="1" errorTitle="Scale Validation" error="You must enter a valid scale, between zero and nine." sqref="E37">
      <formula1>0</formula1>
      <formula2>9</formula2>
    </dataValidation>
    <dataValidation type="whole" allowBlank="1" showInputMessage="1" showErrorMessage="1" errorTitle="Assistant error" error="You must enter a valid step level for Asst. Prof, between 1 and 6." sqref="E39">
      <formula1>1</formula1>
      <formula2>6</formula2>
    </dataValidation>
    <dataValidation type="whole" allowBlank="1" showInputMessage="1" showErrorMessage="1" errorTitle="Assoc Error" error="You must enter a valid step level for Assoc Prof, between 1 and 5." sqref="E40">
      <formula1>1</formula1>
      <formula2>5</formula2>
    </dataValidation>
    <dataValidation type="whole" allowBlank="1" showInputMessage="1" showErrorMessage="1" errorTitle="Prof Error" error="You must enter a valid step level for Professor, between 1 and 9." sqref="E41">
      <formula1>1</formula1>
      <formula2>9</formula2>
    </dataValidation>
    <dataValidation type="decimal" allowBlank="1" showInputMessage="1" showErrorMessage="1" errorTitle="Percent Error" error="You must enter a decimal number between 0 and 1, such as .60 to denote 60% time." sqref="E36">
      <formula1>0</formula1>
      <formula2>1</formula2>
    </dataValidation>
    <dataValidation type="decimal" allowBlank="1" showInputMessage="1" showErrorMessage="1" errorTitle="Target Percent" error="You must enter a valid percentage." sqref="F48:F67">
      <formula1>0</formula1>
      <formula2>1</formula2>
    </dataValidation>
    <dataValidation allowBlank="1" showInputMessage="1" showErrorMessage="1" errorTitle="Scale Validation" error="You must enter the letter &quot;x&quot; to calculate for Instructor." sqref="E38"/>
    <dataValidation type="whole" allowBlank="1" showInputMessage="1" showErrorMessage="1" errorTitle="Salary Cap" error="Enter a number between 1 and 11 to represent the appropriate NIH salary cap, if any." sqref="A57:A67">
      <formula1>1</formula1>
      <formula2>11</formula2>
    </dataValidation>
    <dataValidation errorStyle="warning" type="whole" allowBlank="1" showInputMessage="1" showErrorMessage="1" errorTitle="Salary Cap" error="You have entered a salary cap value that does not match one of the pre-defined NIH salary caps. If you are entering a custom cap value, then you can ignore this warning. Otherwise, please correct the error before continuing." sqref="A48:A56">
      <formula1>1</formula1>
      <formula2>16</formula2>
    </dataValidation>
  </dataValidations>
  <hyperlinks>
    <hyperlink ref="F31" location="GenlInstr!D9" display="?"/>
    <hyperlink ref="A44" location="GenlInstr!D11" display="?"/>
    <hyperlink ref="P44" location="GenlInstr!F11" display="?"/>
    <hyperlink ref="L4" location="GenlInstr!F9" display="GenlInstr!F9"/>
    <hyperlink ref="F36" location="GenlInstr!B10" display="?"/>
    <hyperlink ref="F37" location="GenlInstr!D10" display="?"/>
    <hyperlink ref="F38" location="GenlInstr!F10" display="?"/>
    <hyperlink ref="G5" location="GenlInstr!B9" display="?"/>
    <hyperlink ref="A69" location="GenlInstr!B13" display="?"/>
    <hyperlink ref="L70" location="GenlInstr!D13" display="?"/>
    <hyperlink ref="P34" location="GenlInstr!B11" display="?"/>
  </hyperlinks>
  <printOptions horizontalCentered="1"/>
  <pageMargins left="0.2" right="0.2" top="0.25" bottom="0.25" header="0.33" footer="0.5"/>
  <pageSetup fitToHeight="1" fitToWidth="1" horizontalDpi="300" verticalDpi="300" orientation="landscape" scale="50" r:id="rId4"/>
  <headerFooter alignWithMargins="0">
    <oddFooter>&amp;L&amp;8Printed:  &amp;D @ &amp;T&amp;R&amp;7s:\decision\carrie\adhocs\salary templates\ucdsom_facsal_templates_042804.xls</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1">
    <pageSetUpPr fitToPage="1"/>
  </sheetPr>
  <dimension ref="A1:N137"/>
  <sheetViews>
    <sheetView showGridLines="0" showZeros="0" zoomScale="75" zoomScaleNormal="75" zoomScalePageLayoutView="0" workbookViewId="0" topLeftCell="D1">
      <selection activeCell="E8" sqref="E8"/>
    </sheetView>
  </sheetViews>
  <sheetFormatPr defaultColWidth="0" defaultRowHeight="12.75" zeroHeight="1"/>
  <cols>
    <col min="1" max="3" width="0" style="0" hidden="1" customWidth="1"/>
    <col min="4" max="4" width="9.140625" style="0" customWidth="1"/>
    <col min="5" max="5" width="9.421875" style="0" customWidth="1"/>
    <col min="6" max="6" width="20.57421875" style="0" customWidth="1"/>
    <col min="7" max="7" width="16.140625" style="0" customWidth="1"/>
    <col min="8" max="8" width="16.28125" style="0" customWidth="1"/>
    <col min="9" max="10" width="10.7109375" style="0" bestFit="1" customWidth="1"/>
    <col min="11" max="11" width="14.28125" style="0" bestFit="1" customWidth="1"/>
    <col min="12" max="13" width="10.7109375" style="0" hidden="1" customWidth="1"/>
    <col min="14" max="16384" width="0" style="0" hidden="1" customWidth="1"/>
  </cols>
  <sheetData>
    <row r="1" spans="5:6" ht="15.75">
      <c r="E1" s="115" t="s">
        <v>112</v>
      </c>
      <c r="F1" s="116">
        <f>IF(ISBLANK(Scale_Off),"",eeid_off)</f>
      </c>
    </row>
    <row r="2" spans="5:6" ht="15.75">
      <c r="E2" s="115" t="s">
        <v>126</v>
      </c>
      <c r="F2" s="116">
        <f>IF(ISBLANK(Scale_Off),"",pcn_off)</f>
      </c>
    </row>
    <row r="3" spans="5:6" ht="15.75">
      <c r="E3" s="115" t="s">
        <v>113</v>
      </c>
      <c r="F3" s="116">
        <f>IF(ISBLANK(Scale_Off),"",CONCATENATE(last_off," ,",first_off))</f>
      </c>
    </row>
    <row r="4" spans="5:6" ht="15.75">
      <c r="E4" s="115" t="s">
        <v>186</v>
      </c>
      <c r="F4" s="614">
        <f>time_off</f>
        <v>0</v>
      </c>
    </row>
    <row r="5" spans="5:6" ht="15">
      <c r="E5" s="115"/>
      <c r="F5" s="115"/>
    </row>
    <row r="6" ht="12.75"/>
    <row r="7" spans="4:13" ht="25.5">
      <c r="D7" s="14" t="s">
        <v>107</v>
      </c>
      <c r="E7" s="57" t="s">
        <v>108</v>
      </c>
      <c r="F7" s="14" t="s">
        <v>109</v>
      </c>
      <c r="G7" s="14" t="s">
        <v>156</v>
      </c>
      <c r="H7" s="14" t="s">
        <v>124</v>
      </c>
      <c r="I7" s="14" t="s">
        <v>111</v>
      </c>
      <c r="J7" s="57" t="s">
        <v>178</v>
      </c>
      <c r="K7" s="14" t="s">
        <v>5</v>
      </c>
      <c r="L7" s="14" t="s">
        <v>133</v>
      </c>
      <c r="M7" s="57" t="s">
        <v>134</v>
      </c>
    </row>
    <row r="8" spans="1:13" ht="12.75">
      <c r="A8" s="13">
        <f>IF((ISBLANK(F129)),"",F129)</f>
      </c>
      <c r="B8" t="e">
        <f>VLOOKUP(H8,OffScaleCalc!$D$84:$E$92,2,FALSE)</f>
        <v>#N/A</v>
      </c>
      <c r="C8" t="e">
        <f aca="true" t="shared" si="0" ref="C8:C16">IF(OR(B8=3,B8=2),SUMIF($I$75:$M$75,D8,$I$76:$M$76),"")</f>
        <v>#N/A</v>
      </c>
      <c r="D8" s="2">
        <f aca="true" t="shared" si="1" ref="D8:D16">IF(A8="","",C129)</f>
      </c>
      <c r="E8" s="52"/>
      <c r="F8" s="52"/>
      <c r="G8" s="13">
        <f>IF(A8="","",M8*$F$4)</f>
      </c>
      <c r="H8" s="4">
        <f aca="true" t="shared" si="2" ref="H8:H16">IF(A8="","",E129)</f>
      </c>
      <c r="K8" s="12">
        <f aca="true" t="shared" si="3" ref="K8:K16">IF(A8="","",IF(ISERROR(C8*H129),L8,L8+(C8*H129)))</f>
      </c>
      <c r="L8" s="12">
        <f aca="true" t="shared" si="4" ref="L8:L16">IF(A8="","",G129)</f>
      </c>
      <c r="M8" s="11">
        <f>IF($I$73=2,IF(ISERROR(K8/SUMIF($D$8:$D$16,D8,$K$8:$K$16)),"",K8/SUMIF($D$8:$D$16,D8,$K$8:$K$16)),A8)</f>
      </c>
    </row>
    <row r="9" spans="1:13" ht="12.75">
      <c r="A9" s="13">
        <f aca="true" t="shared" si="5" ref="A9:A16">IF((ISBLANK(F130)),"",F130)</f>
      </c>
      <c r="B9" t="e">
        <f>VLOOKUP(H9,OffScaleCalc!$D$84:$E$92,2,FALSE)</f>
        <v>#N/A</v>
      </c>
      <c r="C9" t="e">
        <f t="shared" si="0"/>
        <v>#N/A</v>
      </c>
      <c r="D9" s="2">
        <f t="shared" si="1"/>
      </c>
      <c r="E9" s="52"/>
      <c r="F9" s="52"/>
      <c r="G9" s="13">
        <f aca="true" t="shared" si="6" ref="G9:G16">IF(A9="","",M9*$F$4)</f>
      </c>
      <c r="H9" s="4">
        <f t="shared" si="2"/>
      </c>
      <c r="K9" s="12">
        <f t="shared" si="3"/>
      </c>
      <c r="L9" s="12">
        <f t="shared" si="4"/>
      </c>
      <c r="M9" s="11">
        <f aca="true" t="shared" si="7" ref="M9:M16">IF($I$73=2,IF(ISERROR(K9/SUMIF($D$8:$D$16,D9,$K$8:$K$16)),"",K9/SUMIF($D$8:$D$16,D9,$K$8:$K$16)),A9)</f>
      </c>
    </row>
    <row r="10" spans="1:13" ht="12.75">
      <c r="A10" s="13">
        <f t="shared" si="5"/>
      </c>
      <c r="B10" t="e">
        <f>VLOOKUP(H10,OffScaleCalc!$D$84:$E$92,2,FALSE)</f>
        <v>#N/A</v>
      </c>
      <c r="C10" t="e">
        <f>IF(OR(B10=3,B10=2),SUMIF($I$75:$M$75,D10,$I$76:$M$76),"")</f>
        <v>#N/A</v>
      </c>
      <c r="D10" s="2">
        <f t="shared" si="1"/>
      </c>
      <c r="E10" s="52"/>
      <c r="F10" s="52"/>
      <c r="G10" s="13">
        <f t="shared" si="6"/>
      </c>
      <c r="H10" s="4">
        <f t="shared" si="2"/>
      </c>
      <c r="K10" s="12">
        <f t="shared" si="3"/>
      </c>
      <c r="L10" s="12">
        <f t="shared" si="4"/>
      </c>
      <c r="M10" s="11">
        <f t="shared" si="7"/>
      </c>
    </row>
    <row r="11" spans="1:13" ht="12.75">
      <c r="A11" s="13">
        <f t="shared" si="5"/>
      </c>
      <c r="B11" t="e">
        <f>VLOOKUP(H11,OffScaleCalc!$D$84:$E$92,2,FALSE)</f>
        <v>#N/A</v>
      </c>
      <c r="C11" t="e">
        <f>IF(OR(B11=3,B11=2),SUMIF($I$75:$M$75,D11,$I$76:$M$76),"")</f>
        <v>#N/A</v>
      </c>
      <c r="D11" s="2">
        <f t="shared" si="1"/>
      </c>
      <c r="E11" s="52"/>
      <c r="F11" s="52"/>
      <c r="G11" s="13">
        <f t="shared" si="6"/>
      </c>
      <c r="H11" s="4">
        <f t="shared" si="2"/>
      </c>
      <c r="K11" s="12">
        <f t="shared" si="3"/>
      </c>
      <c r="L11" s="12">
        <f t="shared" si="4"/>
      </c>
      <c r="M11" s="11">
        <f t="shared" si="7"/>
      </c>
    </row>
    <row r="12" spans="1:13" ht="12.75">
      <c r="A12" s="13">
        <f t="shared" si="5"/>
      </c>
      <c r="B12" t="e">
        <f>VLOOKUP(H12,OffScaleCalc!$D$84:$E$92,2,FALSE)</f>
        <v>#N/A</v>
      </c>
      <c r="C12" t="e">
        <f t="shared" si="0"/>
        <v>#N/A</v>
      </c>
      <c r="D12" s="2">
        <f t="shared" si="1"/>
      </c>
      <c r="E12" s="52"/>
      <c r="F12" s="52"/>
      <c r="G12" s="13">
        <f t="shared" si="6"/>
      </c>
      <c r="H12" s="4">
        <f t="shared" si="2"/>
      </c>
      <c r="K12" s="12">
        <f t="shared" si="3"/>
      </c>
      <c r="L12" s="12">
        <f t="shared" si="4"/>
      </c>
      <c r="M12" s="11">
        <f t="shared" si="7"/>
      </c>
    </row>
    <row r="13" spans="1:13" ht="12.75">
      <c r="A13" s="13">
        <f t="shared" si="5"/>
      </c>
      <c r="B13" t="e">
        <f>VLOOKUP(H13,OffScaleCalc!$D$84:$E$92,2,FALSE)</f>
        <v>#N/A</v>
      </c>
      <c r="C13" t="e">
        <f t="shared" si="0"/>
        <v>#N/A</v>
      </c>
      <c r="D13" s="2">
        <f t="shared" si="1"/>
      </c>
      <c r="E13" s="52"/>
      <c r="F13" s="52"/>
      <c r="G13" s="13">
        <f t="shared" si="6"/>
      </c>
      <c r="H13" s="4">
        <f t="shared" si="2"/>
      </c>
      <c r="K13" s="12">
        <f t="shared" si="3"/>
      </c>
      <c r="L13" s="12">
        <f t="shared" si="4"/>
      </c>
      <c r="M13" s="11">
        <f t="shared" si="7"/>
      </c>
    </row>
    <row r="14" spans="1:13" ht="12.75">
      <c r="A14" s="13">
        <f t="shared" si="5"/>
      </c>
      <c r="B14" t="e">
        <f>VLOOKUP(H14,OffScaleCalc!$D$84:$E$92,2,FALSE)</f>
        <v>#N/A</v>
      </c>
      <c r="C14" t="e">
        <f t="shared" si="0"/>
        <v>#N/A</v>
      </c>
      <c r="D14" s="2">
        <f t="shared" si="1"/>
      </c>
      <c r="E14" s="52"/>
      <c r="F14" s="52"/>
      <c r="G14" s="13">
        <f t="shared" si="6"/>
      </c>
      <c r="H14" s="4">
        <f t="shared" si="2"/>
      </c>
      <c r="K14" s="12">
        <f t="shared" si="3"/>
      </c>
      <c r="L14" s="12">
        <f t="shared" si="4"/>
      </c>
      <c r="M14" s="11">
        <f t="shared" si="7"/>
      </c>
    </row>
    <row r="15" spans="1:13" ht="12.75">
      <c r="A15" s="13">
        <f t="shared" si="5"/>
      </c>
      <c r="B15" t="e">
        <f>VLOOKUP(H15,OffScaleCalc!$D$84:$E$92,2,FALSE)</f>
        <v>#N/A</v>
      </c>
      <c r="C15" t="e">
        <f t="shared" si="0"/>
        <v>#N/A</v>
      </c>
      <c r="D15" s="2">
        <f t="shared" si="1"/>
      </c>
      <c r="E15" s="52"/>
      <c r="F15" s="52"/>
      <c r="G15" s="13">
        <f t="shared" si="6"/>
      </c>
      <c r="H15" s="4">
        <f t="shared" si="2"/>
      </c>
      <c r="K15" s="12">
        <f t="shared" si="3"/>
      </c>
      <c r="L15" s="12">
        <f t="shared" si="4"/>
      </c>
      <c r="M15" s="11">
        <f t="shared" si="7"/>
      </c>
    </row>
    <row r="16" spans="1:13" ht="12.75">
      <c r="A16" s="13">
        <f t="shared" si="5"/>
      </c>
      <c r="B16" t="e">
        <f>VLOOKUP(H16,OffScaleCalc!$D$84:$E$92,2,FALSE)</f>
        <v>#N/A</v>
      </c>
      <c r="C16" t="e">
        <f t="shared" si="0"/>
        <v>#N/A</v>
      </c>
      <c r="D16" s="2">
        <f t="shared" si="1"/>
      </c>
      <c r="E16" s="52"/>
      <c r="F16" s="52"/>
      <c r="G16" s="13">
        <f t="shared" si="6"/>
      </c>
      <c r="H16" s="4">
        <f t="shared" si="2"/>
      </c>
      <c r="K16" s="12">
        <f t="shared" si="3"/>
      </c>
      <c r="L16" s="12">
        <f t="shared" si="4"/>
      </c>
      <c r="M16" s="11">
        <f t="shared" si="7"/>
      </c>
    </row>
    <row r="17" spans="4:13" ht="25.5">
      <c r="D17" s="14" t="s">
        <v>107</v>
      </c>
      <c r="E17" s="57" t="s">
        <v>108</v>
      </c>
      <c r="F17" s="14" t="s">
        <v>109</v>
      </c>
      <c r="G17" s="14" t="s">
        <v>156</v>
      </c>
      <c r="H17" s="14" t="s">
        <v>124</v>
      </c>
      <c r="I17" s="14" t="s">
        <v>111</v>
      </c>
      <c r="J17" s="57" t="s">
        <v>178</v>
      </c>
      <c r="K17" s="14" t="s">
        <v>5</v>
      </c>
      <c r="L17" s="14" t="s">
        <v>133</v>
      </c>
      <c r="M17" s="57" t="s">
        <v>134</v>
      </c>
    </row>
    <row r="18" spans="1:13" ht="12.75">
      <c r="A18" s="13">
        <f>IF((ISBLANK(F77)),"",F77)</f>
      </c>
      <c r="B18" t="e">
        <f>VLOOKUP(H18,OffScaleCalc!$D$84:$E$92,2,FALSE)</f>
        <v>#N/A</v>
      </c>
      <c r="C18" t="e">
        <f aca="true" t="shared" si="8" ref="C18:C24">IF(OR(B18=3,B18=2),SUMIF($I$75:$M$75,D18,$I$76:$M$76),"")</f>
        <v>#N/A</v>
      </c>
      <c r="D18" s="2">
        <f aca="true" t="shared" si="9" ref="D18:D24">IF(A18="","",IF(C77="","",C77))</f>
      </c>
      <c r="E18" s="52"/>
      <c r="F18" s="52"/>
      <c r="G18" s="13">
        <f aca="true" t="shared" si="10" ref="G18:G24">IF((ISBLANK(A18)),"",M18)</f>
      </c>
      <c r="H18" s="4">
        <f aca="true" t="shared" si="11" ref="H18:H24">IF(A18="","",E77)</f>
      </c>
      <c r="K18" s="12">
        <f>IF(A18="","",IF(ISERROR(C18*H77),L18,L18+(C18*H77)))</f>
      </c>
      <c r="L18" s="12">
        <f>IF(A18="","",G77)</f>
      </c>
      <c r="M18" s="11">
        <f>IF($I$73=2,IF(ISERROR(K18/SUMIF($D$18:$D$62,D18,$K$18:$K$62)),"",K18/SUMIF($D$18:$D$62,D18,$K$18:$K$62)),A18)</f>
      </c>
    </row>
    <row r="19" spans="1:13" ht="12.75">
      <c r="A19" s="13">
        <f aca="true" t="shared" si="12" ref="A19:A62">IF((ISBLANK(F78)),"",F78)</f>
      </c>
      <c r="B19" t="e">
        <f>VLOOKUP(H19,OffScaleCalc!$D$84:$E$92,2,FALSE)</f>
        <v>#N/A</v>
      </c>
      <c r="C19" t="e">
        <f t="shared" si="8"/>
        <v>#N/A</v>
      </c>
      <c r="D19" s="2">
        <f t="shared" si="9"/>
      </c>
      <c r="E19" s="52"/>
      <c r="F19" s="52"/>
      <c r="G19" s="13">
        <f t="shared" si="10"/>
      </c>
      <c r="H19" s="4">
        <f t="shared" si="11"/>
      </c>
      <c r="K19" s="12">
        <f aca="true" t="shared" si="13" ref="K19:K62">IF(A19="","",IF(ISERROR(C19*H78),L19,L19+(C19*H78)))</f>
      </c>
      <c r="L19" s="12">
        <f aca="true" t="shared" si="14" ref="L19:L62">IF(A19="","",G78)</f>
      </c>
      <c r="M19" s="11">
        <f aca="true" t="shared" si="15" ref="M19:M62">IF($I$73=2,IF(ISERROR(K19/SUMIF($D$18:$D$62,D19,$K$18:$K$62)),"",K19/SUMIF($D$18:$D$62,D19,$K$18:$K$62)),A19)</f>
      </c>
    </row>
    <row r="20" spans="1:13" ht="12.75">
      <c r="A20" s="13">
        <f t="shared" si="12"/>
      </c>
      <c r="B20" t="e">
        <f>VLOOKUP(H20,OffScaleCalc!$D$84:$E$92,2,FALSE)</f>
        <v>#N/A</v>
      </c>
      <c r="C20" t="e">
        <f t="shared" si="8"/>
        <v>#N/A</v>
      </c>
      <c r="D20" s="2">
        <f t="shared" si="9"/>
      </c>
      <c r="E20" s="52"/>
      <c r="F20" s="52"/>
      <c r="G20" s="13">
        <f t="shared" si="10"/>
      </c>
      <c r="H20" s="4">
        <f t="shared" si="11"/>
      </c>
      <c r="K20" s="12">
        <f t="shared" si="13"/>
      </c>
      <c r="L20" s="12">
        <f t="shared" si="14"/>
      </c>
      <c r="M20" s="11">
        <f t="shared" si="15"/>
      </c>
    </row>
    <row r="21" spans="1:13" ht="12.75">
      <c r="A21" s="13">
        <f t="shared" si="12"/>
      </c>
      <c r="B21" t="e">
        <f>VLOOKUP(H21,OffScaleCalc!$D$84:$E$92,2,FALSE)</f>
        <v>#N/A</v>
      </c>
      <c r="C21" t="e">
        <f t="shared" si="8"/>
        <v>#N/A</v>
      </c>
      <c r="D21" s="2">
        <f t="shared" si="9"/>
      </c>
      <c r="E21" s="52"/>
      <c r="F21" s="52"/>
      <c r="G21" s="13">
        <f t="shared" si="10"/>
      </c>
      <c r="H21" s="4">
        <f t="shared" si="11"/>
      </c>
      <c r="K21" s="12">
        <f t="shared" si="13"/>
      </c>
      <c r="L21" s="12">
        <f t="shared" si="14"/>
      </c>
      <c r="M21" s="11">
        <f t="shared" si="15"/>
      </c>
    </row>
    <row r="22" spans="1:13" ht="12.75">
      <c r="A22" s="13">
        <f t="shared" si="12"/>
      </c>
      <c r="B22" t="e">
        <f>VLOOKUP(H22,OffScaleCalc!$D$84:$E$92,2,FALSE)</f>
        <v>#N/A</v>
      </c>
      <c r="C22" t="e">
        <f t="shared" si="8"/>
        <v>#N/A</v>
      </c>
      <c r="D22" s="2">
        <f t="shared" si="9"/>
      </c>
      <c r="E22" s="52"/>
      <c r="F22" s="52"/>
      <c r="G22" s="13">
        <f t="shared" si="10"/>
      </c>
      <c r="H22" s="4">
        <f t="shared" si="11"/>
      </c>
      <c r="K22" s="12">
        <f t="shared" si="13"/>
      </c>
      <c r="L22" s="12">
        <f t="shared" si="14"/>
      </c>
      <c r="M22" s="11">
        <f t="shared" si="15"/>
      </c>
    </row>
    <row r="23" spans="1:13" ht="12.75">
      <c r="A23" s="13">
        <f t="shared" si="12"/>
      </c>
      <c r="B23" t="e">
        <f>VLOOKUP(H23,OffScaleCalc!$D$84:$E$92,2,FALSE)</f>
        <v>#N/A</v>
      </c>
      <c r="C23" t="e">
        <f t="shared" si="8"/>
        <v>#N/A</v>
      </c>
      <c r="D23" s="2">
        <f t="shared" si="9"/>
      </c>
      <c r="E23" s="52"/>
      <c r="F23" s="52"/>
      <c r="G23" s="13">
        <f t="shared" si="10"/>
      </c>
      <c r="H23" s="4">
        <f t="shared" si="11"/>
      </c>
      <c r="K23" s="12">
        <f t="shared" si="13"/>
      </c>
      <c r="L23" s="12">
        <f t="shared" si="14"/>
      </c>
      <c r="M23" s="11">
        <f t="shared" si="15"/>
      </c>
    </row>
    <row r="24" spans="1:13" ht="12.75">
      <c r="A24" s="13">
        <f t="shared" si="12"/>
      </c>
      <c r="B24" t="e">
        <f>VLOOKUP(H24,OffScaleCalc!$D$84:$E$92,2,FALSE)</f>
        <v>#N/A</v>
      </c>
      <c r="C24" t="e">
        <f t="shared" si="8"/>
        <v>#N/A</v>
      </c>
      <c r="D24" s="2">
        <f t="shared" si="9"/>
      </c>
      <c r="E24" s="52"/>
      <c r="F24" s="52"/>
      <c r="G24" s="13">
        <f t="shared" si="10"/>
      </c>
      <c r="H24" s="4">
        <f t="shared" si="11"/>
      </c>
      <c r="K24" s="12">
        <f t="shared" si="13"/>
      </c>
      <c r="L24" s="12">
        <f t="shared" si="14"/>
      </c>
      <c r="M24" s="11">
        <f t="shared" si="15"/>
      </c>
    </row>
    <row r="25" spans="1:13" ht="12.75">
      <c r="A25" s="13">
        <f t="shared" si="12"/>
      </c>
      <c r="B25" t="e">
        <f>VLOOKUP(H25,OffScaleCalc!$D$84:$E$92,2,FALSE)</f>
        <v>#N/A</v>
      </c>
      <c r="C25" t="e">
        <f aca="true" t="shared" si="16" ref="C25:C62">IF(OR(B25=3,B25=2),SUMIF($I$75:$M$75,D25,$I$76:$M$76),"")</f>
        <v>#N/A</v>
      </c>
      <c r="D25" s="2">
        <f aca="true" t="shared" si="17" ref="D25:D62">IF(A25="","",IF(C84="","",C84))</f>
      </c>
      <c r="E25" s="52"/>
      <c r="F25" s="52"/>
      <c r="G25" s="13">
        <f aca="true" t="shared" si="18" ref="G25:G62">IF((ISBLANK(A25)),"",M25)</f>
      </c>
      <c r="H25" s="4">
        <f aca="true" t="shared" si="19" ref="H25:H62">IF(A25="","",E84)</f>
      </c>
      <c r="K25" s="12">
        <f t="shared" si="13"/>
      </c>
      <c r="L25" s="12">
        <f t="shared" si="14"/>
      </c>
      <c r="M25" s="11">
        <f t="shared" si="15"/>
      </c>
    </row>
    <row r="26" spans="1:13" ht="12.75">
      <c r="A26" s="13">
        <f t="shared" si="12"/>
      </c>
      <c r="B26" t="e">
        <f>VLOOKUP(H26,OffScaleCalc!$D$84:$E$92,2,FALSE)</f>
        <v>#N/A</v>
      </c>
      <c r="C26" t="e">
        <f t="shared" si="16"/>
        <v>#N/A</v>
      </c>
      <c r="D26" s="2">
        <f t="shared" si="17"/>
      </c>
      <c r="E26" s="52"/>
      <c r="F26" s="52"/>
      <c r="G26" s="13">
        <f t="shared" si="18"/>
      </c>
      <c r="H26" s="4">
        <f t="shared" si="19"/>
      </c>
      <c r="K26" s="12">
        <f t="shared" si="13"/>
      </c>
      <c r="L26" s="12">
        <f t="shared" si="14"/>
      </c>
      <c r="M26" s="11">
        <f t="shared" si="15"/>
      </c>
    </row>
    <row r="27" spans="1:13" ht="12.75">
      <c r="A27" s="13">
        <f t="shared" si="12"/>
      </c>
      <c r="B27" t="e">
        <f>VLOOKUP(H27,OffScaleCalc!$D$84:$E$92,2,FALSE)</f>
        <v>#N/A</v>
      </c>
      <c r="C27" t="e">
        <f t="shared" si="16"/>
        <v>#N/A</v>
      </c>
      <c r="D27" s="2">
        <f t="shared" si="17"/>
      </c>
      <c r="E27" s="52"/>
      <c r="F27" s="52"/>
      <c r="G27" s="13">
        <f t="shared" si="18"/>
      </c>
      <c r="H27" s="4">
        <f t="shared" si="19"/>
      </c>
      <c r="K27" s="12">
        <f t="shared" si="13"/>
      </c>
      <c r="L27" s="12">
        <f t="shared" si="14"/>
      </c>
      <c r="M27" s="11">
        <f t="shared" si="15"/>
      </c>
    </row>
    <row r="28" spans="1:13" ht="12.75">
      <c r="A28" s="13">
        <f t="shared" si="12"/>
      </c>
      <c r="B28" t="e">
        <f>VLOOKUP(H28,OffScaleCalc!$D$84:$E$92,2,FALSE)</f>
        <v>#N/A</v>
      </c>
      <c r="C28" t="e">
        <f t="shared" si="16"/>
        <v>#N/A</v>
      </c>
      <c r="D28" s="2">
        <f t="shared" si="17"/>
      </c>
      <c r="E28" s="52"/>
      <c r="F28" s="52"/>
      <c r="G28" s="13">
        <f t="shared" si="18"/>
      </c>
      <c r="H28" s="4">
        <f t="shared" si="19"/>
      </c>
      <c r="K28" s="12">
        <f t="shared" si="13"/>
      </c>
      <c r="L28" s="12">
        <f t="shared" si="14"/>
      </c>
      <c r="M28" s="11">
        <f t="shared" si="15"/>
      </c>
    </row>
    <row r="29" spans="1:13" ht="12.75">
      <c r="A29" s="13">
        <f t="shared" si="12"/>
      </c>
      <c r="B29" t="e">
        <f>VLOOKUP(H29,OffScaleCalc!$D$84:$E$92,2,FALSE)</f>
        <v>#N/A</v>
      </c>
      <c r="C29" t="e">
        <f t="shared" si="16"/>
        <v>#N/A</v>
      </c>
      <c r="D29" s="2">
        <f t="shared" si="17"/>
      </c>
      <c r="E29" s="52"/>
      <c r="F29" s="52"/>
      <c r="G29" s="13">
        <f t="shared" si="18"/>
      </c>
      <c r="H29" s="4">
        <f t="shared" si="19"/>
      </c>
      <c r="K29" s="12">
        <f t="shared" si="13"/>
      </c>
      <c r="L29" s="12">
        <f t="shared" si="14"/>
      </c>
      <c r="M29" s="11">
        <f t="shared" si="15"/>
      </c>
    </row>
    <row r="30" spans="1:13" ht="12.75">
      <c r="A30" s="13">
        <f t="shared" si="12"/>
      </c>
      <c r="B30" t="e">
        <f>VLOOKUP(H30,OffScaleCalc!$D$84:$E$92,2,FALSE)</f>
        <v>#N/A</v>
      </c>
      <c r="C30" t="e">
        <f t="shared" si="16"/>
        <v>#N/A</v>
      </c>
      <c r="D30" s="2">
        <f t="shared" si="17"/>
      </c>
      <c r="E30" s="52"/>
      <c r="F30" s="52"/>
      <c r="G30" s="13">
        <f t="shared" si="18"/>
      </c>
      <c r="H30" s="4">
        <f t="shared" si="19"/>
      </c>
      <c r="K30" s="12">
        <f t="shared" si="13"/>
      </c>
      <c r="L30" s="12">
        <f t="shared" si="14"/>
      </c>
      <c r="M30" s="11">
        <f t="shared" si="15"/>
      </c>
    </row>
    <row r="31" spans="1:13" ht="12.75">
      <c r="A31" s="13">
        <f t="shared" si="12"/>
      </c>
      <c r="B31" t="e">
        <f>VLOOKUP(H31,OffScaleCalc!$D$84:$E$92,2,FALSE)</f>
        <v>#N/A</v>
      </c>
      <c r="C31" t="e">
        <f t="shared" si="16"/>
        <v>#N/A</v>
      </c>
      <c r="D31" s="2">
        <f t="shared" si="17"/>
      </c>
      <c r="E31" s="52"/>
      <c r="F31" s="52"/>
      <c r="G31" s="13">
        <f t="shared" si="18"/>
      </c>
      <c r="H31" s="4">
        <f t="shared" si="19"/>
      </c>
      <c r="K31" s="12">
        <f t="shared" si="13"/>
      </c>
      <c r="L31" s="12">
        <f t="shared" si="14"/>
      </c>
      <c r="M31" s="11">
        <f t="shared" si="15"/>
      </c>
    </row>
    <row r="32" spans="1:13" ht="12.75">
      <c r="A32" s="13">
        <f t="shared" si="12"/>
      </c>
      <c r="B32" t="e">
        <f>VLOOKUP(H32,OffScaleCalc!$D$84:$E$92,2,FALSE)</f>
        <v>#N/A</v>
      </c>
      <c r="C32" t="e">
        <f t="shared" si="16"/>
        <v>#N/A</v>
      </c>
      <c r="D32" s="2">
        <f t="shared" si="17"/>
      </c>
      <c r="E32" s="52"/>
      <c r="F32" s="52"/>
      <c r="G32" s="13">
        <f t="shared" si="18"/>
      </c>
      <c r="H32" s="4">
        <f t="shared" si="19"/>
      </c>
      <c r="K32" s="12">
        <f t="shared" si="13"/>
      </c>
      <c r="L32" s="12">
        <f t="shared" si="14"/>
      </c>
      <c r="M32" s="11">
        <f t="shared" si="15"/>
      </c>
    </row>
    <row r="33" spans="1:13" ht="12.75">
      <c r="A33" s="13">
        <f t="shared" si="12"/>
      </c>
      <c r="B33" t="e">
        <f>VLOOKUP(H33,OffScaleCalc!$D$84:$E$92,2,FALSE)</f>
        <v>#N/A</v>
      </c>
      <c r="C33" t="e">
        <f t="shared" si="16"/>
        <v>#N/A</v>
      </c>
      <c r="D33" s="2">
        <f t="shared" si="17"/>
      </c>
      <c r="E33" s="52"/>
      <c r="F33" s="52"/>
      <c r="G33" s="13">
        <f t="shared" si="18"/>
      </c>
      <c r="H33" s="4">
        <f t="shared" si="19"/>
      </c>
      <c r="K33" s="12">
        <f t="shared" si="13"/>
      </c>
      <c r="L33" s="12">
        <f t="shared" si="14"/>
      </c>
      <c r="M33" s="11">
        <f t="shared" si="15"/>
      </c>
    </row>
    <row r="34" spans="1:13" ht="12.75">
      <c r="A34" s="13">
        <f t="shared" si="12"/>
      </c>
      <c r="B34" t="e">
        <f>VLOOKUP(H34,OffScaleCalc!$D$84:$E$92,2,FALSE)</f>
        <v>#N/A</v>
      </c>
      <c r="C34" t="e">
        <f t="shared" si="16"/>
        <v>#N/A</v>
      </c>
      <c r="D34" s="2">
        <f t="shared" si="17"/>
      </c>
      <c r="E34" s="52"/>
      <c r="F34" s="52"/>
      <c r="G34" s="13">
        <f t="shared" si="18"/>
      </c>
      <c r="H34" s="4">
        <f t="shared" si="19"/>
      </c>
      <c r="K34" s="12">
        <f t="shared" si="13"/>
      </c>
      <c r="L34" s="12">
        <f t="shared" si="14"/>
      </c>
      <c r="M34" s="11">
        <f t="shared" si="15"/>
      </c>
    </row>
    <row r="35" spans="1:13" ht="12.75">
      <c r="A35" s="13">
        <f t="shared" si="12"/>
      </c>
      <c r="B35" t="e">
        <f>VLOOKUP(H35,OffScaleCalc!$D$84:$E$92,2,FALSE)</f>
        <v>#N/A</v>
      </c>
      <c r="C35" t="e">
        <f t="shared" si="16"/>
        <v>#N/A</v>
      </c>
      <c r="D35" s="2">
        <f t="shared" si="17"/>
      </c>
      <c r="E35" s="52"/>
      <c r="F35" s="52"/>
      <c r="G35" s="13">
        <f t="shared" si="18"/>
      </c>
      <c r="H35" s="4">
        <f t="shared" si="19"/>
      </c>
      <c r="K35" s="12">
        <f t="shared" si="13"/>
      </c>
      <c r="L35" s="12">
        <f t="shared" si="14"/>
      </c>
      <c r="M35" s="11">
        <f t="shared" si="15"/>
      </c>
    </row>
    <row r="36" spans="1:13" ht="12.75">
      <c r="A36" s="13">
        <f t="shared" si="12"/>
      </c>
      <c r="B36" t="e">
        <f>VLOOKUP(H36,OffScaleCalc!$D$84:$E$92,2,FALSE)</f>
        <v>#N/A</v>
      </c>
      <c r="C36" t="e">
        <f t="shared" si="16"/>
        <v>#N/A</v>
      </c>
      <c r="D36" s="2">
        <f t="shared" si="17"/>
      </c>
      <c r="E36" s="52"/>
      <c r="F36" s="52"/>
      <c r="G36" s="13">
        <f t="shared" si="18"/>
      </c>
      <c r="H36" s="4">
        <f t="shared" si="19"/>
      </c>
      <c r="K36" s="12">
        <f t="shared" si="13"/>
      </c>
      <c r="L36" s="12">
        <f t="shared" si="14"/>
      </c>
      <c r="M36" s="11">
        <f t="shared" si="15"/>
      </c>
    </row>
    <row r="37" spans="1:13" ht="12.75">
      <c r="A37" s="13">
        <f t="shared" si="12"/>
      </c>
      <c r="B37" t="e">
        <f>VLOOKUP(H37,OffScaleCalc!$D$84:$E$92,2,FALSE)</f>
        <v>#N/A</v>
      </c>
      <c r="C37" t="e">
        <f t="shared" si="16"/>
        <v>#N/A</v>
      </c>
      <c r="D37" s="2">
        <f t="shared" si="17"/>
      </c>
      <c r="E37" s="52"/>
      <c r="F37" s="52"/>
      <c r="G37" s="13">
        <f t="shared" si="18"/>
      </c>
      <c r="H37" s="4">
        <f t="shared" si="19"/>
      </c>
      <c r="K37" s="12">
        <f t="shared" si="13"/>
      </c>
      <c r="L37" s="12">
        <f t="shared" si="14"/>
      </c>
      <c r="M37" s="11">
        <f t="shared" si="15"/>
      </c>
    </row>
    <row r="38" spans="1:13" ht="12.75">
      <c r="A38" s="13">
        <f t="shared" si="12"/>
      </c>
      <c r="B38" t="e">
        <f>VLOOKUP(H38,OffScaleCalc!$D$84:$E$92,2,FALSE)</f>
        <v>#N/A</v>
      </c>
      <c r="C38" t="e">
        <f t="shared" si="16"/>
        <v>#N/A</v>
      </c>
      <c r="D38" s="2">
        <f t="shared" si="17"/>
      </c>
      <c r="E38" s="52"/>
      <c r="F38" s="52"/>
      <c r="G38" s="13">
        <f t="shared" si="18"/>
      </c>
      <c r="H38" s="4">
        <f t="shared" si="19"/>
      </c>
      <c r="K38" s="12">
        <f t="shared" si="13"/>
      </c>
      <c r="L38" s="12">
        <f t="shared" si="14"/>
      </c>
      <c r="M38" s="11">
        <f t="shared" si="15"/>
      </c>
    </row>
    <row r="39" spans="1:13" ht="12.75">
      <c r="A39" s="13">
        <f t="shared" si="12"/>
      </c>
      <c r="B39" t="e">
        <f>VLOOKUP(H39,OffScaleCalc!$D$84:$E$92,2,FALSE)</f>
        <v>#N/A</v>
      </c>
      <c r="C39" t="e">
        <f t="shared" si="16"/>
        <v>#N/A</v>
      </c>
      <c r="D39" s="2">
        <f t="shared" si="17"/>
      </c>
      <c r="E39" s="52"/>
      <c r="F39" s="52"/>
      <c r="G39" s="13">
        <f t="shared" si="18"/>
      </c>
      <c r="H39" s="4">
        <f t="shared" si="19"/>
      </c>
      <c r="K39" s="12">
        <f t="shared" si="13"/>
      </c>
      <c r="L39" s="12">
        <f t="shared" si="14"/>
      </c>
      <c r="M39" s="11">
        <f t="shared" si="15"/>
      </c>
    </row>
    <row r="40" spans="1:13" ht="12.75">
      <c r="A40" s="13">
        <f t="shared" si="12"/>
      </c>
      <c r="B40" t="e">
        <f>VLOOKUP(H40,OffScaleCalc!$D$84:$E$92,2,FALSE)</f>
        <v>#N/A</v>
      </c>
      <c r="C40" t="e">
        <f t="shared" si="16"/>
        <v>#N/A</v>
      </c>
      <c r="D40" s="2">
        <f t="shared" si="17"/>
      </c>
      <c r="E40" s="52"/>
      <c r="F40" s="52"/>
      <c r="G40" s="13">
        <f t="shared" si="18"/>
      </c>
      <c r="H40" s="4">
        <f t="shared" si="19"/>
      </c>
      <c r="K40" s="12">
        <f t="shared" si="13"/>
      </c>
      <c r="L40" s="12">
        <f t="shared" si="14"/>
      </c>
      <c r="M40" s="11">
        <f t="shared" si="15"/>
      </c>
    </row>
    <row r="41" spans="1:13" ht="12.75">
      <c r="A41" s="13">
        <f t="shared" si="12"/>
      </c>
      <c r="B41" t="e">
        <f>VLOOKUP(H41,OffScaleCalc!$D$84:$E$92,2,FALSE)</f>
        <v>#N/A</v>
      </c>
      <c r="C41" t="e">
        <f t="shared" si="16"/>
        <v>#N/A</v>
      </c>
      <c r="D41" s="2">
        <f t="shared" si="17"/>
      </c>
      <c r="E41" s="52"/>
      <c r="F41" s="52"/>
      <c r="G41" s="13">
        <f t="shared" si="18"/>
      </c>
      <c r="H41" s="4">
        <f t="shared" si="19"/>
      </c>
      <c r="K41" s="12">
        <f t="shared" si="13"/>
      </c>
      <c r="L41" s="12">
        <f t="shared" si="14"/>
      </c>
      <c r="M41" s="11">
        <f t="shared" si="15"/>
      </c>
    </row>
    <row r="42" spans="1:13" ht="12.75">
      <c r="A42" s="13">
        <f t="shared" si="12"/>
      </c>
      <c r="B42" t="e">
        <f>VLOOKUP(H42,OffScaleCalc!$D$84:$E$92,2,FALSE)</f>
        <v>#N/A</v>
      </c>
      <c r="C42" t="e">
        <f t="shared" si="16"/>
        <v>#N/A</v>
      </c>
      <c r="D42" s="2">
        <f t="shared" si="17"/>
      </c>
      <c r="E42" s="52"/>
      <c r="F42" s="52"/>
      <c r="G42" s="13">
        <f t="shared" si="18"/>
      </c>
      <c r="H42" s="4">
        <f t="shared" si="19"/>
      </c>
      <c r="K42" s="12">
        <f t="shared" si="13"/>
      </c>
      <c r="L42" s="12">
        <f t="shared" si="14"/>
      </c>
      <c r="M42" s="11">
        <f t="shared" si="15"/>
      </c>
    </row>
    <row r="43" spans="1:13" ht="12.75">
      <c r="A43" s="13">
        <f t="shared" si="12"/>
      </c>
      <c r="B43" t="e">
        <f>VLOOKUP(H43,OffScaleCalc!$D$84:$E$92,2,FALSE)</f>
        <v>#N/A</v>
      </c>
      <c r="C43" t="e">
        <f t="shared" si="16"/>
        <v>#N/A</v>
      </c>
      <c r="D43" s="2">
        <f t="shared" si="17"/>
      </c>
      <c r="E43" s="52"/>
      <c r="F43" s="52"/>
      <c r="G43" s="13">
        <f t="shared" si="18"/>
      </c>
      <c r="H43" s="4">
        <f t="shared" si="19"/>
      </c>
      <c r="K43" s="12">
        <f t="shared" si="13"/>
      </c>
      <c r="L43" s="12">
        <f t="shared" si="14"/>
      </c>
      <c r="M43" s="11">
        <f t="shared" si="15"/>
      </c>
    </row>
    <row r="44" spans="1:13" ht="12.75">
      <c r="A44" s="13">
        <f t="shared" si="12"/>
      </c>
      <c r="B44" t="e">
        <f>VLOOKUP(H44,OffScaleCalc!$D$84:$E$92,2,FALSE)</f>
        <v>#N/A</v>
      </c>
      <c r="C44" t="e">
        <f t="shared" si="16"/>
        <v>#N/A</v>
      </c>
      <c r="D44" s="2">
        <f t="shared" si="17"/>
      </c>
      <c r="E44" s="52"/>
      <c r="F44" s="52"/>
      <c r="G44" s="13">
        <f t="shared" si="18"/>
      </c>
      <c r="H44" s="4">
        <f t="shared" si="19"/>
      </c>
      <c r="K44" s="12">
        <f t="shared" si="13"/>
      </c>
      <c r="L44" s="12">
        <f t="shared" si="14"/>
      </c>
      <c r="M44" s="11">
        <f t="shared" si="15"/>
      </c>
    </row>
    <row r="45" spans="1:13" ht="12.75">
      <c r="A45" s="13">
        <f t="shared" si="12"/>
      </c>
      <c r="B45" t="e">
        <f>VLOOKUP(H45,OffScaleCalc!$D$84:$E$92,2,FALSE)</f>
        <v>#N/A</v>
      </c>
      <c r="C45" t="e">
        <f t="shared" si="16"/>
        <v>#N/A</v>
      </c>
      <c r="D45" s="2">
        <f t="shared" si="17"/>
      </c>
      <c r="E45" s="52"/>
      <c r="F45" s="52"/>
      <c r="G45" s="13">
        <f t="shared" si="18"/>
      </c>
      <c r="H45" s="4">
        <f t="shared" si="19"/>
      </c>
      <c r="K45" s="12">
        <f t="shared" si="13"/>
      </c>
      <c r="L45" s="12">
        <f t="shared" si="14"/>
      </c>
      <c r="M45" s="11">
        <f t="shared" si="15"/>
      </c>
    </row>
    <row r="46" spans="1:13" ht="12.75">
      <c r="A46" s="13">
        <f t="shared" si="12"/>
      </c>
      <c r="B46" t="e">
        <f>VLOOKUP(H46,OffScaleCalc!$D$84:$E$92,2,FALSE)</f>
        <v>#N/A</v>
      </c>
      <c r="C46" t="e">
        <f t="shared" si="16"/>
        <v>#N/A</v>
      </c>
      <c r="D46" s="2">
        <f t="shared" si="17"/>
      </c>
      <c r="E46" s="52"/>
      <c r="F46" s="52"/>
      <c r="G46" s="13">
        <f t="shared" si="18"/>
      </c>
      <c r="H46" s="4">
        <f t="shared" si="19"/>
      </c>
      <c r="K46" s="12">
        <f t="shared" si="13"/>
      </c>
      <c r="L46" s="12">
        <f t="shared" si="14"/>
      </c>
      <c r="M46" s="11">
        <f t="shared" si="15"/>
      </c>
    </row>
    <row r="47" spans="1:13" ht="12.75">
      <c r="A47" s="13">
        <f t="shared" si="12"/>
      </c>
      <c r="B47" t="e">
        <f>VLOOKUP(H47,OffScaleCalc!$D$84:$E$92,2,FALSE)</f>
        <v>#N/A</v>
      </c>
      <c r="C47" t="e">
        <f t="shared" si="16"/>
        <v>#N/A</v>
      </c>
      <c r="D47" s="2">
        <f t="shared" si="17"/>
      </c>
      <c r="E47" s="52"/>
      <c r="F47" s="52"/>
      <c r="G47" s="13">
        <f t="shared" si="18"/>
      </c>
      <c r="H47" s="4">
        <f t="shared" si="19"/>
      </c>
      <c r="K47" s="12">
        <f t="shared" si="13"/>
      </c>
      <c r="L47" s="12">
        <f t="shared" si="14"/>
      </c>
      <c r="M47" s="11">
        <f t="shared" si="15"/>
      </c>
    </row>
    <row r="48" spans="1:13" ht="12.75">
      <c r="A48" s="13">
        <f t="shared" si="12"/>
      </c>
      <c r="B48" t="e">
        <f>VLOOKUP(H48,OffScaleCalc!$D$84:$E$92,2,FALSE)</f>
        <v>#N/A</v>
      </c>
      <c r="C48" t="e">
        <f t="shared" si="16"/>
        <v>#N/A</v>
      </c>
      <c r="D48" s="2">
        <f t="shared" si="17"/>
      </c>
      <c r="E48" s="52"/>
      <c r="F48" s="52"/>
      <c r="G48" s="13">
        <f t="shared" si="18"/>
      </c>
      <c r="H48" s="4">
        <f t="shared" si="19"/>
      </c>
      <c r="K48" s="12">
        <f t="shared" si="13"/>
      </c>
      <c r="L48" s="12">
        <f t="shared" si="14"/>
      </c>
      <c r="M48" s="11">
        <f t="shared" si="15"/>
      </c>
    </row>
    <row r="49" spans="1:13" ht="12.75">
      <c r="A49" s="13">
        <f t="shared" si="12"/>
      </c>
      <c r="B49" t="e">
        <f>VLOOKUP(H49,OffScaleCalc!$D$84:$E$92,2,FALSE)</f>
        <v>#N/A</v>
      </c>
      <c r="C49" t="e">
        <f t="shared" si="16"/>
        <v>#N/A</v>
      </c>
      <c r="D49" s="2">
        <f t="shared" si="17"/>
      </c>
      <c r="E49" s="52"/>
      <c r="F49" s="52"/>
      <c r="G49" s="13">
        <f t="shared" si="18"/>
      </c>
      <c r="H49" s="4">
        <f t="shared" si="19"/>
      </c>
      <c r="K49" s="12">
        <f t="shared" si="13"/>
      </c>
      <c r="L49" s="12">
        <f t="shared" si="14"/>
      </c>
      <c r="M49" s="11">
        <f t="shared" si="15"/>
      </c>
    </row>
    <row r="50" spans="1:13" ht="12.75">
      <c r="A50" s="13">
        <f t="shared" si="12"/>
      </c>
      <c r="B50" t="e">
        <f>VLOOKUP(H50,OffScaleCalc!$D$84:$E$92,2,FALSE)</f>
        <v>#N/A</v>
      </c>
      <c r="C50" t="e">
        <f t="shared" si="16"/>
        <v>#N/A</v>
      </c>
      <c r="D50" s="2">
        <f t="shared" si="17"/>
      </c>
      <c r="E50" s="52"/>
      <c r="F50" s="52"/>
      <c r="G50" s="13">
        <f t="shared" si="18"/>
      </c>
      <c r="H50" s="4">
        <f t="shared" si="19"/>
      </c>
      <c r="K50" s="12">
        <f t="shared" si="13"/>
      </c>
      <c r="L50" s="12">
        <f t="shared" si="14"/>
      </c>
      <c r="M50" s="11">
        <f t="shared" si="15"/>
      </c>
    </row>
    <row r="51" spans="1:13" ht="12.75">
      <c r="A51" s="13">
        <f t="shared" si="12"/>
      </c>
      <c r="B51" t="e">
        <f>VLOOKUP(H51,OffScaleCalc!$D$84:$E$92,2,FALSE)</f>
        <v>#N/A</v>
      </c>
      <c r="C51" t="e">
        <f t="shared" si="16"/>
        <v>#N/A</v>
      </c>
      <c r="D51" s="2">
        <f t="shared" si="17"/>
      </c>
      <c r="E51" s="52"/>
      <c r="F51" s="52"/>
      <c r="G51" s="13">
        <f t="shared" si="18"/>
      </c>
      <c r="H51" s="4">
        <f t="shared" si="19"/>
      </c>
      <c r="K51" s="12">
        <f t="shared" si="13"/>
      </c>
      <c r="L51" s="12">
        <f t="shared" si="14"/>
      </c>
      <c r="M51" s="11">
        <f t="shared" si="15"/>
      </c>
    </row>
    <row r="52" spans="1:13" ht="12.75">
      <c r="A52" s="13">
        <f t="shared" si="12"/>
      </c>
      <c r="B52" t="e">
        <f>VLOOKUP(H52,OffScaleCalc!$D$84:$E$92,2,FALSE)</f>
        <v>#N/A</v>
      </c>
      <c r="C52" t="e">
        <f t="shared" si="16"/>
        <v>#N/A</v>
      </c>
      <c r="D52" s="2">
        <f t="shared" si="17"/>
      </c>
      <c r="E52" s="52"/>
      <c r="F52" s="52"/>
      <c r="G52" s="13">
        <f t="shared" si="18"/>
      </c>
      <c r="H52" s="4">
        <f t="shared" si="19"/>
      </c>
      <c r="K52" s="12">
        <f t="shared" si="13"/>
      </c>
      <c r="L52" s="12">
        <f t="shared" si="14"/>
      </c>
      <c r="M52" s="11">
        <f t="shared" si="15"/>
      </c>
    </row>
    <row r="53" spans="1:13" ht="12.75">
      <c r="A53" s="13">
        <f t="shared" si="12"/>
      </c>
      <c r="B53" t="e">
        <f>VLOOKUP(H53,OffScaleCalc!$D$84:$E$92,2,FALSE)</f>
        <v>#N/A</v>
      </c>
      <c r="C53" t="e">
        <f t="shared" si="16"/>
        <v>#N/A</v>
      </c>
      <c r="D53" s="2">
        <f t="shared" si="17"/>
      </c>
      <c r="E53" s="52"/>
      <c r="F53" s="52"/>
      <c r="G53" s="13">
        <f t="shared" si="18"/>
      </c>
      <c r="H53" s="4">
        <f t="shared" si="19"/>
      </c>
      <c r="K53" s="12">
        <f t="shared" si="13"/>
      </c>
      <c r="L53" s="12">
        <f t="shared" si="14"/>
      </c>
      <c r="M53" s="11">
        <f t="shared" si="15"/>
      </c>
    </row>
    <row r="54" spans="1:13" ht="12.75">
      <c r="A54" s="13">
        <f t="shared" si="12"/>
      </c>
      <c r="B54" t="e">
        <f>VLOOKUP(H54,OffScaleCalc!$D$84:$E$92,2,FALSE)</f>
        <v>#N/A</v>
      </c>
      <c r="C54" t="e">
        <f t="shared" si="16"/>
        <v>#N/A</v>
      </c>
      <c r="D54" s="2">
        <f t="shared" si="17"/>
      </c>
      <c r="E54" s="52"/>
      <c r="F54" s="52"/>
      <c r="G54" s="13">
        <f t="shared" si="18"/>
      </c>
      <c r="H54" s="4">
        <f t="shared" si="19"/>
      </c>
      <c r="K54" s="12">
        <f t="shared" si="13"/>
      </c>
      <c r="L54" s="12">
        <f t="shared" si="14"/>
      </c>
      <c r="M54" s="11">
        <f t="shared" si="15"/>
      </c>
    </row>
    <row r="55" spans="1:13" ht="12.75">
      <c r="A55" s="13">
        <f t="shared" si="12"/>
      </c>
      <c r="B55" t="e">
        <f>VLOOKUP(H55,OffScaleCalc!$D$84:$E$92,2,FALSE)</f>
        <v>#N/A</v>
      </c>
      <c r="C55" t="e">
        <f t="shared" si="16"/>
        <v>#N/A</v>
      </c>
      <c r="D55" s="2">
        <f t="shared" si="17"/>
      </c>
      <c r="E55" s="52"/>
      <c r="F55" s="52"/>
      <c r="G55" s="13">
        <f t="shared" si="18"/>
      </c>
      <c r="H55" s="4">
        <f t="shared" si="19"/>
      </c>
      <c r="K55" s="12">
        <f t="shared" si="13"/>
      </c>
      <c r="L55" s="12">
        <f t="shared" si="14"/>
      </c>
      <c r="M55" s="11">
        <f t="shared" si="15"/>
      </c>
    </row>
    <row r="56" spans="1:13" ht="12.75">
      <c r="A56" s="13">
        <f t="shared" si="12"/>
      </c>
      <c r="B56" t="e">
        <f>VLOOKUP(H56,OffScaleCalc!$D$84:$E$92,2,FALSE)</f>
        <v>#N/A</v>
      </c>
      <c r="C56" t="e">
        <f t="shared" si="16"/>
        <v>#N/A</v>
      </c>
      <c r="D56" s="2">
        <f t="shared" si="17"/>
      </c>
      <c r="E56" s="52"/>
      <c r="F56" s="52"/>
      <c r="G56" s="13">
        <f t="shared" si="18"/>
      </c>
      <c r="H56" s="4">
        <f t="shared" si="19"/>
      </c>
      <c r="K56" s="12">
        <f t="shared" si="13"/>
      </c>
      <c r="L56" s="12">
        <f t="shared" si="14"/>
      </c>
      <c r="M56" s="11">
        <f t="shared" si="15"/>
      </c>
    </row>
    <row r="57" spans="1:13" ht="12.75">
      <c r="A57" s="13">
        <f t="shared" si="12"/>
      </c>
      <c r="B57" t="e">
        <f>VLOOKUP(H57,OffScaleCalc!$D$84:$E$92,2,FALSE)</f>
        <v>#N/A</v>
      </c>
      <c r="C57" t="e">
        <f t="shared" si="16"/>
        <v>#N/A</v>
      </c>
      <c r="D57" s="2">
        <f t="shared" si="17"/>
      </c>
      <c r="E57" s="52"/>
      <c r="F57" s="52"/>
      <c r="G57" s="13">
        <f t="shared" si="18"/>
      </c>
      <c r="H57" s="4">
        <f t="shared" si="19"/>
      </c>
      <c r="K57" s="12">
        <f t="shared" si="13"/>
      </c>
      <c r="L57" s="12">
        <f t="shared" si="14"/>
      </c>
      <c r="M57" s="11">
        <f t="shared" si="15"/>
      </c>
    </row>
    <row r="58" spans="1:13" ht="12.75">
      <c r="A58" s="13">
        <f t="shared" si="12"/>
      </c>
      <c r="B58" t="e">
        <f>VLOOKUP(H58,OffScaleCalc!$D$84:$E$92,2,FALSE)</f>
        <v>#N/A</v>
      </c>
      <c r="C58" t="e">
        <f t="shared" si="16"/>
        <v>#N/A</v>
      </c>
      <c r="D58" s="2">
        <f t="shared" si="17"/>
      </c>
      <c r="E58" s="52"/>
      <c r="F58" s="52"/>
      <c r="G58" s="13">
        <f t="shared" si="18"/>
      </c>
      <c r="H58" s="4">
        <f t="shared" si="19"/>
      </c>
      <c r="K58" s="12">
        <f t="shared" si="13"/>
      </c>
      <c r="L58" s="12">
        <f t="shared" si="14"/>
      </c>
      <c r="M58" s="11">
        <f t="shared" si="15"/>
      </c>
    </row>
    <row r="59" spans="1:13" ht="12.75">
      <c r="A59" s="13">
        <f t="shared" si="12"/>
      </c>
      <c r="B59" t="e">
        <f>VLOOKUP(H59,OffScaleCalc!$D$84:$E$92,2,FALSE)</f>
        <v>#N/A</v>
      </c>
      <c r="C59" t="e">
        <f t="shared" si="16"/>
        <v>#N/A</v>
      </c>
      <c r="D59" s="2">
        <f t="shared" si="17"/>
      </c>
      <c r="E59" s="52"/>
      <c r="F59" s="52"/>
      <c r="G59" s="13">
        <f t="shared" si="18"/>
      </c>
      <c r="H59" s="4">
        <f t="shared" si="19"/>
      </c>
      <c r="K59" s="12">
        <f t="shared" si="13"/>
      </c>
      <c r="L59" s="12">
        <f t="shared" si="14"/>
      </c>
      <c r="M59" s="11">
        <f t="shared" si="15"/>
      </c>
    </row>
    <row r="60" spans="1:13" ht="12.75">
      <c r="A60" s="13">
        <f t="shared" si="12"/>
      </c>
      <c r="B60" t="e">
        <f>VLOOKUP(H60,OffScaleCalc!$D$84:$E$92,2,FALSE)</f>
        <v>#N/A</v>
      </c>
      <c r="C60" t="e">
        <f t="shared" si="16"/>
        <v>#N/A</v>
      </c>
      <c r="D60" s="2">
        <f t="shared" si="17"/>
      </c>
      <c r="E60" s="52"/>
      <c r="F60" s="52"/>
      <c r="G60" s="13">
        <f t="shared" si="18"/>
      </c>
      <c r="H60" s="4">
        <f t="shared" si="19"/>
      </c>
      <c r="K60" s="12">
        <f t="shared" si="13"/>
      </c>
      <c r="L60" s="12">
        <f t="shared" si="14"/>
      </c>
      <c r="M60" s="11">
        <f t="shared" si="15"/>
      </c>
    </row>
    <row r="61" spans="1:13" ht="12.75">
      <c r="A61" s="13">
        <f t="shared" si="12"/>
      </c>
      <c r="B61" t="e">
        <f>VLOOKUP(H61,OffScaleCalc!$D$84:$E$92,2,FALSE)</f>
        <v>#N/A</v>
      </c>
      <c r="C61" t="e">
        <f t="shared" si="16"/>
        <v>#N/A</v>
      </c>
      <c r="D61" s="2">
        <f t="shared" si="17"/>
      </c>
      <c r="E61" s="52"/>
      <c r="F61" s="52"/>
      <c r="G61" s="13">
        <f t="shared" si="18"/>
      </c>
      <c r="H61" s="4">
        <f t="shared" si="19"/>
      </c>
      <c r="K61" s="12">
        <f t="shared" si="13"/>
      </c>
      <c r="L61" s="12">
        <f t="shared" si="14"/>
      </c>
      <c r="M61" s="11">
        <f t="shared" si="15"/>
      </c>
    </row>
    <row r="62" spans="1:13" ht="12.75">
      <c r="A62" s="13">
        <f t="shared" si="12"/>
      </c>
      <c r="B62" t="e">
        <f>VLOOKUP(H62,OffScaleCalc!$D$84:$E$92,2,FALSE)</f>
        <v>#N/A</v>
      </c>
      <c r="C62" t="e">
        <f t="shared" si="16"/>
        <v>#N/A</v>
      </c>
      <c r="D62" s="2">
        <f t="shared" si="17"/>
      </c>
      <c r="E62" s="52"/>
      <c r="F62" s="52"/>
      <c r="G62" s="13">
        <f t="shared" si="18"/>
      </c>
      <c r="H62" s="4">
        <f t="shared" si="19"/>
      </c>
      <c r="K62" s="12">
        <f t="shared" si="13"/>
      </c>
      <c r="L62" s="12">
        <f t="shared" si="14"/>
      </c>
      <c r="M62" s="11">
        <f t="shared" si="15"/>
      </c>
    </row>
    <row r="63" spans="1:13" s="588" customFormat="1" ht="15.75">
      <c r="A63" s="587"/>
      <c r="D63" s="888">
        <f>IF($I$73=3,"UNFUNDED DIFFERENTIALS","")</f>
      </c>
      <c r="E63" s="888"/>
      <c r="F63" s="888"/>
      <c r="G63" s="888"/>
      <c r="H63" s="888"/>
      <c r="I63" s="888"/>
      <c r="J63" s="888"/>
      <c r="K63" s="888"/>
      <c r="L63" s="589"/>
      <c r="M63" s="590"/>
    </row>
    <row r="64" spans="4:13" ht="12.75">
      <c r="D64" s="14">
        <f>IF($I$73=3,D17,"")</f>
      </c>
      <c r="E64" s="57">
        <f aca="true" t="shared" si="20" ref="E64:K64">IF($I$73=3,E17,"")</f>
      </c>
      <c r="F64" s="14">
        <f t="shared" si="20"/>
      </c>
      <c r="G64" s="14">
        <f t="shared" si="20"/>
      </c>
      <c r="H64" s="14">
        <f t="shared" si="20"/>
      </c>
      <c r="I64" s="14">
        <f t="shared" si="20"/>
      </c>
      <c r="J64" s="57">
        <f t="shared" si="20"/>
      </c>
      <c r="K64" s="14">
        <f t="shared" si="20"/>
      </c>
      <c r="L64" s="14"/>
      <c r="M64" s="57"/>
    </row>
    <row r="65" spans="1:13" ht="12.75">
      <c r="A65" s="13"/>
      <c r="D65" s="2">
        <f>IF(AND(I74&lt;1,$I$73=3),I75,"")</f>
      </c>
      <c r="E65" s="52"/>
      <c r="F65" s="52"/>
      <c r="G65" s="13">
        <f>IF(ISBLANK(M65),"",M65)</f>
      </c>
      <c r="H65" s="598"/>
      <c r="K65" s="12">
        <f>IF($I$73=3,dos1_diff_off,"")</f>
      </c>
      <c r="L65" s="12"/>
      <c r="M65" s="11">
        <f>IF($I$73=3,IF(D65="REG",$F$4-SUMIF($I$75:$M$75,D65,$I$74:$M$74),1-SUMIF($I$75:$M$75,D65,$I$74:$M$74)),"")</f>
      </c>
    </row>
    <row r="66" spans="1:13" ht="12.75">
      <c r="A66" s="13"/>
      <c r="D66" s="2">
        <f>IF(AND($J$74&lt;1,$I$73=3),$J$75,"")</f>
      </c>
      <c r="E66" s="52"/>
      <c r="F66" s="52"/>
      <c r="G66" s="13">
        <f>IF(ISBLANK(M66),"",M66)</f>
      </c>
      <c r="H66" s="4"/>
      <c r="K66" s="12">
        <f>IF($I$73=3,dos2_diff_off,"")</f>
      </c>
      <c r="L66" s="12"/>
      <c r="M66" s="11">
        <f>IF($I$73=3,IF(D66="REG",$F$4-SUMIF($I$75:$M$75,D66,$I$74:$M$74),1-SUMIF($I$75:$M$75,D66,$I$74:$M$74)),"")</f>
      </c>
    </row>
    <row r="67" spans="1:13" ht="12.75">
      <c r="A67" s="13"/>
      <c r="D67" s="2">
        <f>IF(AND($K$74&lt;1,$I$73=3),$K$75,"")</f>
      </c>
      <c r="E67" s="52"/>
      <c r="F67" s="52"/>
      <c r="G67" s="13">
        <f>IF(ISBLANK(M67),"",M67)</f>
      </c>
      <c r="H67" s="4"/>
      <c r="K67" s="12">
        <f>IF($I$73=3,dos3_diff_off,"")</f>
      </c>
      <c r="L67" s="12"/>
      <c r="M67" s="11">
        <f>IF($I$73=3,IF(D67="REG",$F$4-SUMIF($I$75:$M$75,D67,$I$74:$M$74),1-SUMIF($I$75:$M$75,D67,$I$74:$M$74)),"")</f>
      </c>
    </row>
    <row r="68" spans="1:13" ht="12.75">
      <c r="A68" s="13"/>
      <c r="D68" s="2">
        <f>IF(AND($L$74&lt;1,$I$73=3),$L$75,"")</f>
      </c>
      <c r="E68" s="52"/>
      <c r="F68" s="52"/>
      <c r="G68" s="13">
        <f>IF(ISBLANK(M68),"",M68)</f>
      </c>
      <c r="H68" s="4"/>
      <c r="K68" s="12">
        <f>IF($I$73=3,dos4_diff_off,"")</f>
      </c>
      <c r="L68" s="12"/>
      <c r="M68" s="11">
        <f>IF($I$73=3,IF(D68="REG",$F$4-SUMIF($I$75:$M$75,D68,$I$74:$M$74),1-SUMIF($I$75:$M$75,D68,$I$74:$M$74)),"")</f>
      </c>
    </row>
    <row r="69" spans="1:13" ht="12.75">
      <c r="A69" s="13"/>
      <c r="D69" s="2">
        <f>IF(AND($M$74&lt;1,$I$73=3),$M$75,"")</f>
      </c>
      <c r="E69" s="52"/>
      <c r="F69" s="52"/>
      <c r="G69" s="13">
        <f>IF(ISBLANK(M69),"",M69)</f>
      </c>
      <c r="H69" s="4"/>
      <c r="K69" s="12">
        <f>IF($I$73=3,dos5_diff_off,"")</f>
      </c>
      <c r="L69" s="12"/>
      <c r="M69" s="11">
        <f>IF($I$73=3,IF(D69="REG",$F$4-SUMIF($I$75:$M$75,D69,$I$74:$M$74),1-SUMIF($I$75:$M$75,D69,$I$74:$M$74)),"")</f>
      </c>
    </row>
    <row r="70" spans="1:13" s="116" customFormat="1" ht="15.75">
      <c r="A70" s="584"/>
      <c r="D70" s="556"/>
      <c r="E70" s="556"/>
      <c r="F70" s="556" t="s">
        <v>170</v>
      </c>
      <c r="G70" s="584"/>
      <c r="H70" s="585"/>
      <c r="K70" s="557">
        <f>SUM(K8:K69)</f>
        <v>0</v>
      </c>
      <c r="L70" s="557"/>
      <c r="M70" s="586"/>
    </row>
    <row r="71" spans="7:8" s="5" customFormat="1" ht="12" customHeight="1" hidden="1">
      <c r="G71" s="55">
        <f>IF((ISBLANK(A71)),"",F120)</f>
      </c>
      <c r="H71" s="56">
        <f>IF(A71="","",E120)</f>
      </c>
    </row>
    <row r="72" spans="7:8" ht="12.75" hidden="1">
      <c r="G72" s="13">
        <f>IF((ISBLANK(A72)),"",F121)</f>
      </c>
      <c r="H72" s="4">
        <f>IF(A72="","",E121)</f>
      </c>
    </row>
    <row r="73" spans="8:9" ht="12.75" hidden="1">
      <c r="H73" s="4" t="s">
        <v>181</v>
      </c>
      <c r="I73" s="2">
        <f>cap_option_off</f>
        <v>1</v>
      </c>
    </row>
    <row r="74" spans="9:14" ht="12.75" hidden="1">
      <c r="I74" s="2">
        <f>SUMIF($D$8:$D$62,I75,$G$8:$G$62)</f>
        <v>0</v>
      </c>
      <c r="J74" s="2">
        <f>SUMIF($D$8:$D$62,J75,$G$8:$G$62)</f>
        <v>0</v>
      </c>
      <c r="K74" s="2">
        <f>SUMIF($D$8:$D$62,K75,$G$8:$G$62)</f>
        <v>0</v>
      </c>
      <c r="L74" s="2">
        <f>SUMIF($D$8:$D$62,L75,$G$8:$G$62)</f>
        <v>0</v>
      </c>
      <c r="M74" s="2">
        <f>SUMIF($D$8:$D$62,M75,$G$8:$G$62)</f>
        <v>0</v>
      </c>
      <c r="N74" s="2"/>
    </row>
    <row r="75" spans="4:14" ht="12.75" hidden="1">
      <c r="D75" s="6"/>
      <c r="E75" s="8"/>
      <c r="F75" s="10" t="s">
        <v>121</v>
      </c>
      <c r="G75" s="8"/>
      <c r="H75" s="9"/>
      <c r="I75" s="2" t="str">
        <f>OffScaleCalc!Q44</f>
        <v>REG</v>
      </c>
      <c r="J75" s="2" t="str">
        <f>OffScaleCalc!R44</f>
        <v>OSC</v>
      </c>
      <c r="K75" s="2" t="str">
        <f>OffScaleCalc!S44</f>
        <v>HBT</v>
      </c>
      <c r="L75" s="2">
        <f>OffScaleCalc!T44</f>
        <v>0</v>
      </c>
      <c r="M75" s="2" t="str">
        <f>OffScaleCalc!U44</f>
        <v>HBY</v>
      </c>
      <c r="N75" s="2" t="s">
        <v>2</v>
      </c>
    </row>
    <row r="76" spans="4:14" ht="12.75" hidden="1">
      <c r="D76" s="10" t="s">
        <v>116</v>
      </c>
      <c r="E76" s="10" t="s">
        <v>110</v>
      </c>
      <c r="F76" s="6" t="s">
        <v>122</v>
      </c>
      <c r="G76" s="51" t="s">
        <v>123</v>
      </c>
      <c r="H76" s="7" t="s">
        <v>132</v>
      </c>
      <c r="I76" s="625">
        <f>IF($I$73=2,dos1_diff_off,"")</f>
      </c>
      <c r="J76" s="625">
        <f>IF($I$73=2,dos2_diff_off,"")</f>
      </c>
      <c r="K76" s="625">
        <f>IF($I$73=2,dos3_diff_off,"")</f>
      </c>
      <c r="L76" s="625">
        <f>IF($I$73=2,dos4_diff_off,"")</f>
      </c>
      <c r="M76" s="625">
        <f>IF($I$73=2,dos5_diff_off,"")</f>
      </c>
      <c r="N76" s="630">
        <f>SUM(I76:L76)</f>
        <v>0</v>
      </c>
    </row>
    <row r="77" spans="3:8" ht="12.75" hidden="1">
      <c r="C77">
        <f>IF(ISBLANK(F77),"",IF(D77="",C76,D77))</f>
      </c>
      <c r="D77" s="594"/>
      <c r="E77" s="599"/>
      <c r="F77" s="595"/>
      <c r="G77" s="596"/>
      <c r="H77" s="597"/>
    </row>
    <row r="78" ht="12.75" hidden="1">
      <c r="C78">
        <f aca="true" t="shared" si="21" ref="C78:C126">IF(ISBLANK(F78),"",IF(D78="",C77,D78))</f>
      </c>
    </row>
    <row r="79" ht="12.75" hidden="1">
      <c r="C79">
        <f t="shared" si="21"/>
      </c>
    </row>
    <row r="80" ht="12.75" hidden="1">
      <c r="C80">
        <f t="shared" si="21"/>
      </c>
    </row>
    <row r="81" ht="12.75" hidden="1">
      <c r="C81">
        <f t="shared" si="21"/>
      </c>
    </row>
    <row r="82" ht="12.75" hidden="1">
      <c r="C82">
        <f t="shared" si="21"/>
      </c>
    </row>
    <row r="83" ht="12.75" hidden="1">
      <c r="C83">
        <f t="shared" si="21"/>
      </c>
    </row>
    <row r="84" ht="12.75" hidden="1">
      <c r="C84">
        <f t="shared" si="21"/>
      </c>
    </row>
    <row r="85" ht="12.75" hidden="1">
      <c r="C85">
        <f t="shared" si="21"/>
      </c>
    </row>
    <row r="86" ht="12.75" hidden="1">
      <c r="C86">
        <f t="shared" si="21"/>
      </c>
    </row>
    <row r="87" ht="12.75" hidden="1">
      <c r="C87">
        <f t="shared" si="21"/>
      </c>
    </row>
    <row r="88" ht="12.75" hidden="1">
      <c r="C88">
        <f t="shared" si="21"/>
      </c>
    </row>
    <row r="89" ht="12.75" hidden="1">
      <c r="C89">
        <f t="shared" si="21"/>
      </c>
    </row>
    <row r="90" ht="12.75" hidden="1">
      <c r="C90">
        <f t="shared" si="21"/>
      </c>
    </row>
    <row r="91" ht="12.75" hidden="1">
      <c r="C91">
        <f t="shared" si="21"/>
      </c>
    </row>
    <row r="92" ht="12.75" hidden="1">
      <c r="C92">
        <f t="shared" si="21"/>
      </c>
    </row>
    <row r="93" ht="12.75" hidden="1">
      <c r="C93">
        <f t="shared" si="21"/>
      </c>
    </row>
    <row r="94" ht="12.75" hidden="1">
      <c r="C94">
        <f t="shared" si="21"/>
      </c>
    </row>
    <row r="95" ht="12.75" hidden="1">
      <c r="C95">
        <f t="shared" si="21"/>
      </c>
    </row>
    <row r="96" ht="12.75" hidden="1">
      <c r="C96">
        <f t="shared" si="21"/>
      </c>
    </row>
    <row r="97" ht="12.75" hidden="1">
      <c r="C97">
        <f t="shared" si="21"/>
      </c>
    </row>
    <row r="98" ht="12.75" hidden="1">
      <c r="C98">
        <f t="shared" si="21"/>
      </c>
    </row>
    <row r="99" ht="12.75" hidden="1">
      <c r="C99">
        <f t="shared" si="21"/>
      </c>
    </row>
    <row r="100" ht="12.75" hidden="1">
      <c r="C100">
        <f t="shared" si="21"/>
      </c>
    </row>
    <row r="101" ht="12.75" hidden="1">
      <c r="C101">
        <f t="shared" si="21"/>
      </c>
    </row>
    <row r="102" ht="12.75" hidden="1">
      <c r="C102">
        <f t="shared" si="21"/>
      </c>
    </row>
    <row r="103" ht="12.75" hidden="1">
      <c r="C103">
        <f t="shared" si="21"/>
      </c>
    </row>
    <row r="104" ht="12.75" hidden="1">
      <c r="C104">
        <f t="shared" si="21"/>
      </c>
    </row>
    <row r="105" ht="12.75" hidden="1">
      <c r="C105">
        <f t="shared" si="21"/>
      </c>
    </row>
    <row r="106" ht="12.75" hidden="1">
      <c r="C106">
        <f t="shared" si="21"/>
      </c>
    </row>
    <row r="107" ht="12.75" hidden="1">
      <c r="C107">
        <f t="shared" si="21"/>
      </c>
    </row>
    <row r="108" ht="12.75" hidden="1">
      <c r="C108">
        <f t="shared" si="21"/>
      </c>
    </row>
    <row r="109" spans="4:8" ht="12.75" hidden="1">
      <c r="D109" s="1"/>
      <c r="E109" s="1"/>
      <c r="F109" s="647"/>
      <c r="G109" s="649"/>
      <c r="H109" s="647"/>
    </row>
    <row r="110" spans="4:8" ht="12.75" hidden="1">
      <c r="D110" s="1"/>
      <c r="E110" s="1"/>
      <c r="F110" s="647"/>
      <c r="G110" s="649"/>
      <c r="H110" s="647"/>
    </row>
    <row r="111" spans="4:8" ht="12.75" hidden="1">
      <c r="D111" s="1"/>
      <c r="E111" s="1"/>
      <c r="F111" s="647"/>
      <c r="G111" s="649"/>
      <c r="H111" s="647"/>
    </row>
    <row r="112" spans="4:8" ht="12.75" hidden="1">
      <c r="D112" s="1"/>
      <c r="E112" s="1"/>
      <c r="F112" s="647"/>
      <c r="G112" s="649"/>
      <c r="H112" s="647"/>
    </row>
    <row r="113" spans="4:8" ht="12.75" hidden="1">
      <c r="D113" s="1"/>
      <c r="E113" s="1"/>
      <c r="F113" s="647"/>
      <c r="G113" s="649"/>
      <c r="H113" s="647"/>
    </row>
    <row r="114" ht="12.75" hidden="1">
      <c r="C114">
        <f>IF(ISBLANK(F114),"",IF(D114="",C108,D114))</f>
      </c>
    </row>
    <row r="115" ht="12.75" hidden="1">
      <c r="C115">
        <f t="shared" si="21"/>
      </c>
    </row>
    <row r="116" ht="12.75" hidden="1">
      <c r="C116">
        <f t="shared" si="21"/>
      </c>
    </row>
    <row r="117" ht="12.75" hidden="1">
      <c r="C117">
        <f t="shared" si="21"/>
      </c>
    </row>
    <row r="118" ht="12.75" hidden="1">
      <c r="C118">
        <f t="shared" si="21"/>
      </c>
    </row>
    <row r="119" ht="12.75" hidden="1">
      <c r="C119">
        <f t="shared" si="21"/>
      </c>
    </row>
    <row r="120" ht="12.75" hidden="1">
      <c r="C120">
        <f t="shared" si="21"/>
      </c>
    </row>
    <row r="121" ht="12.75" hidden="1">
      <c r="C121">
        <f t="shared" si="21"/>
      </c>
    </row>
    <row r="122" ht="12.75" hidden="1">
      <c r="C122">
        <f t="shared" si="21"/>
      </c>
    </row>
    <row r="123" s="5" customFormat="1" ht="12.75" hidden="1">
      <c r="C123" s="5">
        <f t="shared" si="21"/>
      </c>
    </row>
    <row r="124" ht="12.75" hidden="1">
      <c r="C124">
        <f t="shared" si="21"/>
      </c>
    </row>
    <row r="125" ht="12.75" hidden="1">
      <c r="C125">
        <f t="shared" si="21"/>
      </c>
    </row>
    <row r="126" ht="12.75" hidden="1">
      <c r="C126">
        <f t="shared" si="21"/>
      </c>
    </row>
    <row r="127" spans="4:8" ht="12.75" hidden="1">
      <c r="D127" s="6"/>
      <c r="E127" s="8"/>
      <c r="F127" s="10" t="s">
        <v>121</v>
      </c>
      <c r="G127" s="8"/>
      <c r="H127" s="9"/>
    </row>
    <row r="128" spans="4:8" ht="12.75" hidden="1">
      <c r="D128" s="10" t="s">
        <v>116</v>
      </c>
      <c r="E128" s="10" t="s">
        <v>110</v>
      </c>
      <c r="F128" s="6" t="s">
        <v>122</v>
      </c>
      <c r="G128" s="51" t="s">
        <v>123</v>
      </c>
      <c r="H128" s="7" t="s">
        <v>132</v>
      </c>
    </row>
    <row r="129" spans="3:8" ht="12.75" hidden="1">
      <c r="C129">
        <f aca="true" t="shared" si="22" ref="C129:C137">IF(ISBLANK(F129),"",IF(D129="",C128,D129))</f>
      </c>
      <c r="D129" s="594"/>
      <c r="E129" s="599"/>
      <c r="F129" s="595"/>
      <c r="G129" s="596"/>
      <c r="H129" s="597"/>
    </row>
    <row r="130" ht="12.75" hidden="1">
      <c r="C130">
        <f t="shared" si="22"/>
      </c>
    </row>
    <row r="131" ht="12.75" hidden="1">
      <c r="C131">
        <f t="shared" si="22"/>
      </c>
    </row>
    <row r="132" ht="12.75" hidden="1">
      <c r="C132">
        <f t="shared" si="22"/>
      </c>
    </row>
    <row r="133" ht="12.75" hidden="1">
      <c r="C133">
        <f t="shared" si="22"/>
      </c>
    </row>
    <row r="134" ht="12.75" hidden="1">
      <c r="C134">
        <f t="shared" si="22"/>
      </c>
    </row>
    <row r="135" ht="12.75" hidden="1">
      <c r="C135">
        <f t="shared" si="22"/>
      </c>
    </row>
    <row r="136" ht="12.75" hidden="1">
      <c r="C136">
        <f t="shared" si="22"/>
      </c>
    </row>
    <row r="137" ht="12.75" hidden="1">
      <c r="C137">
        <f t="shared" si="22"/>
      </c>
    </row>
  </sheetData>
  <sheetProtection/>
  <mergeCells count="1">
    <mergeCell ref="D63:K63"/>
  </mergeCells>
  <printOptions/>
  <pageMargins left="0.75" right="0.75" top="1" bottom="1" header="0.5" footer="0.5"/>
  <pageSetup fitToHeight="1" fitToWidth="1" horizontalDpi="600" verticalDpi="600" orientation="landscape" scale="81" r:id="rId1"/>
</worksheet>
</file>

<file path=xl/worksheets/sheet4.xml><?xml version="1.0" encoding="utf-8"?>
<worksheet xmlns="http://schemas.openxmlformats.org/spreadsheetml/2006/main" xmlns:r="http://schemas.openxmlformats.org/officeDocument/2006/relationships">
  <sheetPr codeName="Sheet3">
    <tabColor rgb="FF0070C0"/>
    <pageSetUpPr fitToPage="1"/>
  </sheetPr>
  <dimension ref="A1:AV669"/>
  <sheetViews>
    <sheetView showGridLines="0" showZeros="0" zoomScale="75" zoomScaleNormal="75" zoomScalePageLayoutView="0" workbookViewId="0" topLeftCell="A1">
      <selection activeCell="H22" sqref="H22"/>
    </sheetView>
  </sheetViews>
  <sheetFormatPr defaultColWidth="0" defaultRowHeight="12.75" zeroHeight="1"/>
  <cols>
    <col min="1" max="1" width="7.28125" style="464" customWidth="1"/>
    <col min="2" max="2" width="9.8515625" style="382" customWidth="1"/>
    <col min="3" max="3" width="9.57421875" style="382" customWidth="1"/>
    <col min="4" max="4" width="17.140625" style="382" customWidth="1"/>
    <col min="5" max="5" width="21.140625" style="382" customWidth="1"/>
    <col min="6" max="6" width="9.00390625" style="382" customWidth="1"/>
    <col min="7" max="7" width="11.7109375" style="382" bestFit="1" customWidth="1"/>
    <col min="8" max="8" width="15.00390625" style="382" customWidth="1"/>
    <col min="9" max="9" width="9.57421875" style="382" customWidth="1"/>
    <col min="10" max="12" width="12.28125" style="382" customWidth="1"/>
    <col min="13" max="13" width="22.57421875" style="382" customWidth="1"/>
    <col min="14" max="15" width="12.28125" style="382" customWidth="1"/>
    <col min="16" max="16" width="0.85546875" style="382" customWidth="1"/>
    <col min="17" max="17" width="17.57421875" style="382" customWidth="1"/>
    <col min="18" max="18" width="13.7109375" style="382" customWidth="1"/>
    <col min="19" max="22" width="11.8515625" style="382" customWidth="1"/>
    <col min="23" max="23" width="12.140625" style="382" customWidth="1"/>
    <col min="24" max="24" width="8.00390625" style="175" hidden="1" customWidth="1"/>
    <col min="25" max="25" width="0" style="381" hidden="1" customWidth="1"/>
    <col min="26" max="26" width="8.28125" style="381" hidden="1" customWidth="1"/>
    <col min="27" max="27" width="10.57421875" style="381" hidden="1" customWidth="1"/>
    <col min="28" max="29" width="10.28125" style="381" hidden="1" customWidth="1"/>
    <col min="30" max="30" width="9.00390625" style="381" hidden="1" customWidth="1"/>
    <col min="31" max="31" width="40.421875" style="381" hidden="1" customWidth="1"/>
    <col min="32" max="48" width="0" style="381" hidden="1" customWidth="1"/>
    <col min="49" max="16384" width="0" style="382" hidden="1" customWidth="1"/>
  </cols>
  <sheetData>
    <row r="1" spans="1:24" ht="48.75" customHeight="1" thickTop="1">
      <c r="A1" s="376"/>
      <c r="B1" s="377"/>
      <c r="C1" s="377"/>
      <c r="D1" s="377"/>
      <c r="E1" s="377"/>
      <c r="F1" s="377"/>
      <c r="G1" s="377"/>
      <c r="H1" s="377"/>
      <c r="I1" s="377"/>
      <c r="J1" s="377"/>
      <c r="K1" s="377"/>
      <c r="L1" s="377"/>
      <c r="M1" s="377"/>
      <c r="N1" s="377"/>
      <c r="O1" s="377"/>
      <c r="P1" s="378"/>
      <c r="Q1" s="379"/>
      <c r="R1" s="379"/>
      <c r="S1" s="378"/>
      <c r="T1" s="378"/>
      <c r="U1" s="600"/>
      <c r="V1" s="601"/>
      <c r="W1" s="380"/>
      <c r="X1" s="172"/>
    </row>
    <row r="2" spans="1:23" ht="13.5" customHeight="1" thickBot="1">
      <c r="A2" s="383" t="s">
        <v>49</v>
      </c>
      <c r="B2" s="174" t="s">
        <v>162</v>
      </c>
      <c r="C2" s="174" t="s">
        <v>185</v>
      </c>
      <c r="D2" s="174"/>
      <c r="E2" s="174"/>
      <c r="F2" s="174"/>
      <c r="G2" s="174"/>
      <c r="H2" s="174"/>
      <c r="I2" s="174"/>
      <c r="J2" s="174"/>
      <c r="K2" s="174"/>
      <c r="L2" s="174"/>
      <c r="M2" s="174"/>
      <c r="N2" s="174"/>
      <c r="O2" s="174"/>
      <c r="P2" s="174"/>
      <c r="Q2" s="174"/>
      <c r="R2" s="174"/>
      <c r="S2" s="174"/>
      <c r="T2" s="174"/>
      <c r="U2" s="592"/>
      <c r="V2" s="593"/>
      <c r="W2" s="190"/>
    </row>
    <row r="3" spans="1:24" ht="4.5" customHeight="1" thickTop="1">
      <c r="A3" s="177"/>
      <c r="B3" s="178"/>
      <c r="C3" s="178"/>
      <c r="D3" s="178"/>
      <c r="E3" s="178"/>
      <c r="F3" s="178"/>
      <c r="G3" s="178"/>
      <c r="H3" s="178"/>
      <c r="I3" s="178"/>
      <c r="J3" s="178"/>
      <c r="K3" s="178"/>
      <c r="L3" s="178"/>
      <c r="M3" s="178"/>
      <c r="N3" s="178"/>
      <c r="O3" s="178"/>
      <c r="P3" s="178"/>
      <c r="Q3" s="179"/>
      <c r="R3" s="602"/>
      <c r="S3" s="178"/>
      <c r="T3" s="178"/>
      <c r="U3" s="600"/>
      <c r="V3" s="601"/>
      <c r="W3" s="179"/>
      <c r="X3" s="174"/>
    </row>
    <row r="4" spans="1:24" ht="12.75">
      <c r="A4" s="180"/>
      <c r="B4" s="181" t="s">
        <v>93</v>
      </c>
      <c r="C4" s="384"/>
      <c r="D4" s="384"/>
      <c r="E4" s="174"/>
      <c r="F4" s="174"/>
      <c r="G4" s="174"/>
      <c r="H4" s="174"/>
      <c r="I4" s="174"/>
      <c r="J4" s="174"/>
      <c r="K4" s="184"/>
      <c r="L4" s="185"/>
      <c r="M4" s="667" t="s">
        <v>49</v>
      </c>
      <c r="N4" s="667"/>
      <c r="O4" s="668" t="s">
        <v>61</v>
      </c>
      <c r="P4" s="669"/>
      <c r="Q4" s="670" t="s">
        <v>60</v>
      </c>
      <c r="R4" s="388"/>
      <c r="S4" s="174"/>
      <c r="T4" s="174"/>
      <c r="U4" s="198"/>
      <c r="V4" s="220"/>
      <c r="W4" s="190"/>
      <c r="X4" s="174"/>
    </row>
    <row r="5" spans="1:31" ht="12.75" hidden="1">
      <c r="A5" s="180"/>
      <c r="B5" s="181"/>
      <c r="G5"/>
      <c r="H5" s="174"/>
      <c r="I5" s="174"/>
      <c r="J5" s="174"/>
      <c r="K5" s="184"/>
      <c r="L5" s="185"/>
      <c r="M5" s="186" t="s">
        <v>86</v>
      </c>
      <c r="N5" s="187">
        <v>1</v>
      </c>
      <c r="O5" s="391">
        <v>125000</v>
      </c>
      <c r="P5" s="184"/>
      <c r="Q5" s="207">
        <f aca="true" t="shared" si="0" ref="Q5:Q10">O5/12</f>
        <v>10416.666666666666</v>
      </c>
      <c r="R5" s="392"/>
      <c r="S5" s="174"/>
      <c r="T5" s="174"/>
      <c r="U5" s="592"/>
      <c r="V5" s="593"/>
      <c r="W5" s="190"/>
      <c r="X5" s="174"/>
      <c r="AD5" s="381" t="s">
        <v>136</v>
      </c>
      <c r="AE5" s="393"/>
    </row>
    <row r="6" spans="1:31" ht="12.75" hidden="1">
      <c r="A6" s="180"/>
      <c r="B6" s="175"/>
      <c r="G6" s="193"/>
      <c r="H6" s="193"/>
      <c r="I6" s="199"/>
      <c r="J6" s="174"/>
      <c r="K6" s="184"/>
      <c r="L6" s="185"/>
      <c r="M6" s="186" t="s">
        <v>87</v>
      </c>
      <c r="N6" s="187">
        <v>2</v>
      </c>
      <c r="O6" s="391">
        <v>125900</v>
      </c>
      <c r="P6" s="195"/>
      <c r="Q6" s="207">
        <f t="shared" si="0"/>
        <v>10491.666666666666</v>
      </c>
      <c r="R6" s="392"/>
      <c r="S6" s="196"/>
      <c r="T6" s="196"/>
      <c r="U6" s="196"/>
      <c r="V6" s="196"/>
      <c r="W6" s="197"/>
      <c r="X6" s="196"/>
      <c r="AD6" s="381" t="s">
        <v>137</v>
      </c>
      <c r="AE6" s="393"/>
    </row>
    <row r="7" spans="1:31" ht="12.75" hidden="1">
      <c r="A7" s="180"/>
      <c r="B7" s="191"/>
      <c r="G7" s="174"/>
      <c r="H7" s="193"/>
      <c r="I7" s="199"/>
      <c r="J7" s="174"/>
      <c r="K7" s="184"/>
      <c r="L7" s="185"/>
      <c r="M7" s="186" t="s">
        <v>88</v>
      </c>
      <c r="N7" s="187">
        <v>3</v>
      </c>
      <c r="O7" s="391">
        <v>130200</v>
      </c>
      <c r="P7" s="184"/>
      <c r="Q7" s="207">
        <f t="shared" si="0"/>
        <v>10850</v>
      </c>
      <c r="R7" s="392"/>
      <c r="S7" s="174"/>
      <c r="T7" s="174"/>
      <c r="U7" s="174"/>
      <c r="V7" s="174"/>
      <c r="W7" s="190"/>
      <c r="X7" s="174"/>
      <c r="Z7" s="395" t="s">
        <v>18</v>
      </c>
      <c r="AC7" s="395" t="s">
        <v>22</v>
      </c>
      <c r="AD7" s="396" t="s">
        <v>138</v>
      </c>
      <c r="AE7" s="393"/>
    </row>
    <row r="8" spans="1:30" ht="12.75" hidden="1">
      <c r="A8" s="180"/>
      <c r="B8" s="191"/>
      <c r="G8" s="174"/>
      <c r="H8" s="193"/>
      <c r="I8" s="199"/>
      <c r="J8" s="174"/>
      <c r="K8" s="184"/>
      <c r="L8" s="185"/>
      <c r="M8" s="186" t="s">
        <v>89</v>
      </c>
      <c r="N8" s="187">
        <v>4</v>
      </c>
      <c r="O8" s="391">
        <v>136700</v>
      </c>
      <c r="P8" s="184"/>
      <c r="Q8" s="207">
        <f t="shared" si="0"/>
        <v>11391.666666666666</v>
      </c>
      <c r="R8" s="392"/>
      <c r="S8" s="174"/>
      <c r="T8" s="174"/>
      <c r="U8" s="174"/>
      <c r="V8" s="174"/>
      <c r="W8" s="190"/>
      <c r="X8" s="174"/>
      <c r="Z8" s="395"/>
      <c r="AC8" s="395"/>
      <c r="AD8" s="396"/>
    </row>
    <row r="9" spans="1:30" ht="12.75" hidden="1">
      <c r="A9" s="180"/>
      <c r="B9" s="191"/>
      <c r="G9" s="174"/>
      <c r="H9" s="193"/>
      <c r="I9" s="199"/>
      <c r="J9" s="174"/>
      <c r="K9" s="184"/>
      <c r="L9" s="185"/>
      <c r="M9" s="186" t="s">
        <v>90</v>
      </c>
      <c r="N9" s="187">
        <v>5</v>
      </c>
      <c r="O9" s="391">
        <v>141300</v>
      </c>
      <c r="P9" s="184"/>
      <c r="Q9" s="207">
        <f t="shared" si="0"/>
        <v>11775</v>
      </c>
      <c r="R9" s="392"/>
      <c r="S9" s="174"/>
      <c r="T9" s="174"/>
      <c r="U9" s="174"/>
      <c r="V9" s="174"/>
      <c r="W9" s="190"/>
      <c r="X9" s="174"/>
      <c r="Z9" s="395"/>
      <c r="AC9" s="395"/>
      <c r="AD9" s="396"/>
    </row>
    <row r="10" spans="1:30" ht="15.75" customHeight="1">
      <c r="A10" s="180"/>
      <c r="D10" s="672" t="s">
        <v>58</v>
      </c>
      <c r="E10" s="167"/>
      <c r="F10" s="389"/>
      <c r="G10" s="175"/>
      <c r="H10" s="193"/>
      <c r="I10" s="199"/>
      <c r="J10" s="174"/>
      <c r="K10" s="962" t="s">
        <v>204</v>
      </c>
      <c r="L10" s="723"/>
      <c r="M10" s="723"/>
      <c r="N10" s="724">
        <v>1</v>
      </c>
      <c r="O10" s="716">
        <v>191300</v>
      </c>
      <c r="P10" s="717"/>
      <c r="Q10" s="722">
        <f t="shared" si="0"/>
        <v>15941.666666666666</v>
      </c>
      <c r="R10" s="392"/>
      <c r="S10" s="174"/>
      <c r="T10" s="174"/>
      <c r="U10" s="174"/>
      <c r="V10" s="174"/>
      <c r="W10" s="190"/>
      <c r="X10" s="174"/>
      <c r="Z10" s="395"/>
      <c r="AC10" s="395"/>
      <c r="AD10" s="396"/>
    </row>
    <row r="11" spans="1:30" ht="15.75" customHeight="1">
      <c r="A11" s="180"/>
      <c r="D11" s="673" t="s">
        <v>126</v>
      </c>
      <c r="E11" s="168"/>
      <c r="F11" s="394"/>
      <c r="G11" s="175"/>
      <c r="H11" s="193"/>
      <c r="I11" s="199"/>
      <c r="J11" s="174"/>
      <c r="K11" s="962" t="s">
        <v>205</v>
      </c>
      <c r="L11" s="723"/>
      <c r="M11" s="723"/>
      <c r="N11" s="724">
        <v>2</v>
      </c>
      <c r="O11" s="716">
        <v>196900</v>
      </c>
      <c r="P11" s="717"/>
      <c r="Q11" s="722">
        <f aca="true" t="shared" si="1" ref="Q11:Q17">O11/12</f>
        <v>16408.333333333332</v>
      </c>
      <c r="R11" s="392"/>
      <c r="S11" s="174"/>
      <c r="T11" s="174"/>
      <c r="U11" s="174"/>
      <c r="V11" s="174"/>
      <c r="W11" s="190"/>
      <c r="X11" s="174"/>
      <c r="Z11" s="395"/>
      <c r="AC11" s="395"/>
      <c r="AD11" s="396"/>
    </row>
    <row r="12" spans="1:30" ht="28.5" customHeight="1">
      <c r="A12" s="180"/>
      <c r="D12" s="672" t="s">
        <v>26</v>
      </c>
      <c r="E12" s="169"/>
      <c r="F12" s="394"/>
      <c r="G12" s="174"/>
      <c r="H12" s="193"/>
      <c r="I12" s="397"/>
      <c r="J12" s="398"/>
      <c r="K12" s="962" t="s">
        <v>206</v>
      </c>
      <c r="L12" s="723"/>
      <c r="M12" s="723"/>
      <c r="N12" s="724">
        <v>3</v>
      </c>
      <c r="O12" s="718">
        <v>199700</v>
      </c>
      <c r="P12" s="719"/>
      <c r="Q12" s="722">
        <f t="shared" si="1"/>
        <v>16641.666666666668</v>
      </c>
      <c r="R12" s="400"/>
      <c r="S12" s="174"/>
      <c r="T12" s="174"/>
      <c r="U12" s="174"/>
      <c r="V12" s="174"/>
      <c r="W12" s="190"/>
      <c r="X12" s="174"/>
      <c r="Z12" s="395"/>
      <c r="AC12" s="395"/>
      <c r="AD12" s="396"/>
    </row>
    <row r="13" spans="1:30" ht="41.25" customHeight="1">
      <c r="A13" s="180"/>
      <c r="B13" s="191"/>
      <c r="D13" s="672" t="s">
        <v>27</v>
      </c>
      <c r="E13" s="169"/>
      <c r="F13" s="394"/>
      <c r="G13" s="174"/>
      <c r="H13" s="193"/>
      <c r="I13" s="397"/>
      <c r="J13" s="397"/>
      <c r="K13" s="962" t="s">
        <v>207</v>
      </c>
      <c r="L13" s="723"/>
      <c r="M13" s="723"/>
      <c r="N13" s="724">
        <v>4</v>
      </c>
      <c r="O13" s="718">
        <v>199700</v>
      </c>
      <c r="P13" s="720"/>
      <c r="Q13" s="722">
        <f t="shared" si="1"/>
        <v>16641.666666666668</v>
      </c>
      <c r="R13" s="400"/>
      <c r="S13" s="174"/>
      <c r="T13" s="174"/>
      <c r="U13" s="174"/>
      <c r="V13" s="174"/>
      <c r="W13" s="190"/>
      <c r="X13" s="174"/>
      <c r="Z13" s="395"/>
      <c r="AC13" s="395"/>
      <c r="AD13" s="396"/>
    </row>
    <row r="14" spans="1:30" ht="41.25" customHeight="1">
      <c r="A14" s="180"/>
      <c r="B14" s="191"/>
      <c r="D14" s="672"/>
      <c r="E14" s="707"/>
      <c r="F14" s="706"/>
      <c r="G14" s="174"/>
      <c r="H14" s="193"/>
      <c r="I14" s="397"/>
      <c r="J14" s="397"/>
      <c r="K14" s="962" t="s">
        <v>200</v>
      </c>
      <c r="L14" s="723"/>
      <c r="M14" s="723"/>
      <c r="N14" s="724">
        <v>5</v>
      </c>
      <c r="O14" s="718">
        <v>179700</v>
      </c>
      <c r="P14" s="720"/>
      <c r="Q14" s="722">
        <f t="shared" si="1"/>
        <v>14975</v>
      </c>
      <c r="R14" s="400"/>
      <c r="S14" s="174"/>
      <c r="T14" s="174"/>
      <c r="U14" s="174"/>
      <c r="V14" s="174"/>
      <c r="W14" s="190"/>
      <c r="X14" s="174"/>
      <c r="Z14" s="395"/>
      <c r="AC14" s="395"/>
      <c r="AD14" s="396"/>
    </row>
    <row r="15" spans="1:30" ht="41.25" customHeight="1">
      <c r="A15" s="180"/>
      <c r="B15" s="191"/>
      <c r="D15" s="672"/>
      <c r="E15" s="707"/>
      <c r="F15" s="706"/>
      <c r="G15" s="174"/>
      <c r="H15" s="193"/>
      <c r="I15" s="397"/>
      <c r="J15" s="397"/>
      <c r="K15" s="962" t="s">
        <v>201</v>
      </c>
      <c r="L15" s="723"/>
      <c r="M15" s="723"/>
      <c r="N15" s="724">
        <v>6</v>
      </c>
      <c r="O15" s="716">
        <v>181500</v>
      </c>
      <c r="P15" s="717"/>
      <c r="Q15" s="722">
        <f t="shared" si="1"/>
        <v>15125</v>
      </c>
      <c r="R15" s="400"/>
      <c r="S15" s="174"/>
      <c r="T15" s="174"/>
      <c r="U15" s="174"/>
      <c r="V15" s="174"/>
      <c r="W15" s="190"/>
      <c r="X15" s="174"/>
      <c r="Z15" s="395"/>
      <c r="AC15" s="395"/>
      <c r="AD15" s="396"/>
    </row>
    <row r="16" spans="1:30" ht="15.75" customHeight="1">
      <c r="A16" s="180"/>
      <c r="B16" s="191"/>
      <c r="D16" s="672"/>
      <c r="E16" s="707"/>
      <c r="F16" s="706"/>
      <c r="G16" s="174"/>
      <c r="H16" s="193"/>
      <c r="I16" s="397"/>
      <c r="J16" s="397"/>
      <c r="K16" s="963" t="s">
        <v>208</v>
      </c>
      <c r="L16" s="950"/>
      <c r="M16" s="950"/>
      <c r="N16" s="721">
        <v>7</v>
      </c>
      <c r="O16" s="716">
        <v>183300</v>
      </c>
      <c r="P16" s="717"/>
      <c r="Q16" s="722">
        <f t="shared" si="1"/>
        <v>15275</v>
      </c>
      <c r="R16" s="400"/>
      <c r="S16" s="174"/>
      <c r="T16" s="174"/>
      <c r="U16" s="174"/>
      <c r="V16" s="174"/>
      <c r="W16" s="190"/>
      <c r="X16" s="174"/>
      <c r="Z16" s="395"/>
      <c r="AC16" s="395"/>
      <c r="AD16" s="396"/>
    </row>
    <row r="17" spans="1:30" ht="15.75" customHeight="1">
      <c r="A17" s="180"/>
      <c r="B17" s="191"/>
      <c r="D17" s="672"/>
      <c r="E17" s="707"/>
      <c r="F17" s="706"/>
      <c r="G17" s="174"/>
      <c r="H17" s="193"/>
      <c r="I17" s="397"/>
      <c r="J17" s="397"/>
      <c r="K17" s="962" t="s">
        <v>209</v>
      </c>
      <c r="L17" s="723"/>
      <c r="M17" s="723"/>
      <c r="N17" s="724">
        <v>8</v>
      </c>
      <c r="O17" s="716">
        <v>230000</v>
      </c>
      <c r="P17" s="717"/>
      <c r="Q17" s="722">
        <f t="shared" si="1"/>
        <v>19166.666666666668</v>
      </c>
      <c r="R17" s="400"/>
      <c r="S17" s="174"/>
      <c r="T17" s="174"/>
      <c r="U17" s="174"/>
      <c r="V17" s="174"/>
      <c r="W17" s="190"/>
      <c r="X17" s="174"/>
      <c r="Z17" s="395"/>
      <c r="AC17" s="395"/>
      <c r="AD17" s="396"/>
    </row>
    <row r="18" spans="1:30" ht="15.75">
      <c r="A18" s="180"/>
      <c r="B18" s="191"/>
      <c r="D18" s="672"/>
      <c r="E18" s="707"/>
      <c r="F18" s="706"/>
      <c r="G18" s="174"/>
      <c r="H18" s="193"/>
      <c r="I18" s="397"/>
      <c r="J18" s="397"/>
      <c r="K18" s="960"/>
      <c r="L18" s="955"/>
      <c r="M18" s="961"/>
      <c r="N18" s="958"/>
      <c r="O18" s="964"/>
      <c r="P18" s="966"/>
      <c r="Q18" s="965">
        <v>0</v>
      </c>
      <c r="R18" s="400"/>
      <c r="S18" s="174"/>
      <c r="T18" s="174"/>
      <c r="U18" s="174"/>
      <c r="V18" s="174"/>
      <c r="W18" s="190"/>
      <c r="X18" s="174"/>
      <c r="Z18" s="395"/>
      <c r="AC18" s="395"/>
      <c r="AD18" s="396"/>
    </row>
    <row r="19" spans="1:30" ht="15.75">
      <c r="A19" s="180"/>
      <c r="B19" s="191"/>
      <c r="D19" s="672"/>
      <c r="E19" s="707"/>
      <c r="F19" s="706"/>
      <c r="G19" s="174"/>
      <c r="H19" s="193"/>
      <c r="I19" s="397"/>
      <c r="J19" s="397"/>
      <c r="K19" s="381"/>
      <c r="L19" s="381"/>
      <c r="O19" s="381"/>
      <c r="Q19" s="381"/>
      <c r="R19" s="400"/>
      <c r="S19" s="174"/>
      <c r="T19" s="174"/>
      <c r="U19" s="174"/>
      <c r="V19" s="174"/>
      <c r="W19" s="190"/>
      <c r="X19" s="174"/>
      <c r="Z19" s="395"/>
      <c r="AC19" s="395"/>
      <c r="AD19" s="396"/>
    </row>
    <row r="20" spans="1:30" ht="15.75">
      <c r="A20" s="180"/>
      <c r="B20" s="191"/>
      <c r="D20" s="672"/>
      <c r="E20" s="707"/>
      <c r="F20" s="706"/>
      <c r="G20" s="174"/>
      <c r="H20" s="193"/>
      <c r="I20" s="397"/>
      <c r="J20" s="397"/>
      <c r="R20" s="400"/>
      <c r="S20" s="174"/>
      <c r="T20" s="174"/>
      <c r="U20" s="174"/>
      <c r="V20" s="174"/>
      <c r="W20" s="190"/>
      <c r="X20" s="174"/>
      <c r="Z20" s="395"/>
      <c r="AC20" s="395"/>
      <c r="AD20" s="396"/>
    </row>
    <row r="21" spans="1:30" ht="15.75">
      <c r="A21" s="180"/>
      <c r="B21" s="191"/>
      <c r="D21" s="672"/>
      <c r="E21" s="707"/>
      <c r="F21" s="706"/>
      <c r="G21" s="174"/>
      <c r="H21" s="193"/>
      <c r="I21" s="397"/>
      <c r="J21" s="397"/>
      <c r="R21" s="400"/>
      <c r="S21" s="174"/>
      <c r="T21" s="174"/>
      <c r="U21" s="174"/>
      <c r="V21" s="174"/>
      <c r="W21" s="190"/>
      <c r="X21" s="174"/>
      <c r="Z21" s="395"/>
      <c r="AC21" s="395"/>
      <c r="AD21" s="396"/>
    </row>
    <row r="22" spans="1:30" ht="15.75">
      <c r="A22" s="180"/>
      <c r="B22" s="191"/>
      <c r="D22" s="672"/>
      <c r="E22" s="707"/>
      <c r="F22" s="706"/>
      <c r="G22" s="174"/>
      <c r="H22" s="193"/>
      <c r="I22" s="397"/>
      <c r="J22" s="397"/>
      <c r="R22" s="400"/>
      <c r="S22" s="174"/>
      <c r="T22" s="174"/>
      <c r="U22" s="174"/>
      <c r="V22" s="174"/>
      <c r="W22" s="190"/>
      <c r="X22" s="174"/>
      <c r="Z22" s="395"/>
      <c r="AC22" s="395"/>
      <c r="AD22" s="396"/>
    </row>
    <row r="23" spans="1:30" ht="15.75">
      <c r="A23" s="180"/>
      <c r="B23" s="191"/>
      <c r="D23" s="672"/>
      <c r="E23" s="707"/>
      <c r="F23" s="706"/>
      <c r="G23" s="174"/>
      <c r="H23" s="193"/>
      <c r="I23" s="397"/>
      <c r="J23" s="397"/>
      <c r="R23" s="400"/>
      <c r="S23" s="174"/>
      <c r="T23" s="174"/>
      <c r="U23" s="174"/>
      <c r="V23" s="174"/>
      <c r="W23" s="190"/>
      <c r="X23" s="174"/>
      <c r="Z23" s="395"/>
      <c r="AC23" s="395"/>
      <c r="AD23" s="396"/>
    </row>
    <row r="24" spans="1:30" ht="26.25" customHeight="1">
      <c r="A24" s="180"/>
      <c r="B24" s="191"/>
      <c r="G24" s="174"/>
      <c r="H24" s="193"/>
      <c r="I24" s="401"/>
      <c r="J24" s="398"/>
      <c r="L24" s="174"/>
      <c r="M24" s="211"/>
      <c r="N24" s="967" t="s">
        <v>210</v>
      </c>
      <c r="O24" s="212" t="str">
        <f>IF(E29&gt;=O13,"YES","NO")</f>
        <v>NO</v>
      </c>
      <c r="P24" s="212"/>
      <c r="Q24" s="212"/>
      <c r="R24" s="402"/>
      <c r="S24" s="174"/>
      <c r="T24" s="174"/>
      <c r="U24" s="174"/>
      <c r="V24" s="174"/>
      <c r="W24" s="190"/>
      <c r="X24" s="174"/>
      <c r="Z24" s="395"/>
      <c r="AC24" s="395"/>
      <c r="AD24" s="396"/>
    </row>
    <row r="25" spans="1:30" ht="12.75">
      <c r="A25" s="180"/>
      <c r="B25" s="191"/>
      <c r="C25" s="198"/>
      <c r="D25" s="198"/>
      <c r="E25" s="890"/>
      <c r="F25" s="890"/>
      <c r="G25" s="210"/>
      <c r="H25" s="210"/>
      <c r="I25" s="174"/>
      <c r="J25" s="174"/>
      <c r="K25" s="174"/>
      <c r="R25" s="212"/>
      <c r="S25" s="212"/>
      <c r="T25" s="212"/>
      <c r="U25" s="212"/>
      <c r="V25" s="212"/>
      <c r="W25" s="213"/>
      <c r="X25" s="212"/>
      <c r="Z25" s="889" t="s">
        <v>21</v>
      </c>
      <c r="AA25" s="889"/>
      <c r="AB25" s="889" t="s">
        <v>20</v>
      </c>
      <c r="AC25" s="889"/>
      <c r="AD25" s="889"/>
    </row>
    <row r="26" spans="1:30" ht="4.5" customHeight="1" thickBot="1">
      <c r="A26" s="214"/>
      <c r="B26" s="215"/>
      <c r="C26" s="215"/>
      <c r="D26" s="215"/>
      <c r="E26" s="215"/>
      <c r="F26" s="215"/>
      <c r="G26" s="215"/>
      <c r="H26" s="215"/>
      <c r="I26" s="215"/>
      <c r="J26" s="215"/>
      <c r="K26" s="215"/>
      <c r="L26" s="215"/>
      <c r="M26" s="215"/>
      <c r="N26" s="215"/>
      <c r="O26" s="215"/>
      <c r="P26" s="215"/>
      <c r="Q26" s="215"/>
      <c r="R26" s="215"/>
      <c r="S26" s="215"/>
      <c r="T26" s="215"/>
      <c r="U26" s="215"/>
      <c r="V26" s="215"/>
      <c r="W26" s="216"/>
      <c r="X26" s="174"/>
      <c r="Z26" s="403"/>
      <c r="AA26" s="404"/>
      <c r="AB26" s="404"/>
      <c r="AC26" s="404"/>
      <c r="AD26" s="404"/>
    </row>
    <row r="27" spans="1:30" ht="17.25" customHeight="1" thickTop="1">
      <c r="A27" s="405"/>
      <c r="B27" s="218" t="s">
        <v>165</v>
      </c>
      <c r="C27" s="174"/>
      <c r="D27" s="174"/>
      <c r="E27" s="174"/>
      <c r="F27" s="174"/>
      <c r="G27" s="174"/>
      <c r="H27" s="174"/>
      <c r="I27" s="174"/>
      <c r="J27" s="174"/>
      <c r="K27" s="174"/>
      <c r="L27" s="174"/>
      <c r="M27" s="174"/>
      <c r="N27" s="174"/>
      <c r="O27" s="174"/>
      <c r="P27" s="174"/>
      <c r="Q27" s="174"/>
      <c r="R27" s="174"/>
      <c r="S27" s="174"/>
      <c r="T27" s="174"/>
      <c r="U27" s="174"/>
      <c r="V27" s="174"/>
      <c r="W27" s="190"/>
      <c r="X27" s="174"/>
      <c r="Z27" s="403"/>
      <c r="AA27" s="404"/>
      <c r="AB27" s="404"/>
      <c r="AC27" s="404"/>
      <c r="AD27" s="404"/>
    </row>
    <row r="28" spans="1:30" ht="14.25" customHeight="1">
      <c r="A28" s="219"/>
      <c r="B28" s="174"/>
      <c r="C28" s="220" t="s">
        <v>44</v>
      </c>
      <c r="D28" s="220"/>
      <c r="E28" s="174"/>
      <c r="F28" s="174"/>
      <c r="G28" s="174"/>
      <c r="H28" s="174"/>
      <c r="I28" s="174"/>
      <c r="J28" s="174"/>
      <c r="K28" s="174"/>
      <c r="L28" s="174"/>
      <c r="M28" s="174"/>
      <c r="N28" s="174"/>
      <c r="O28" s="174"/>
      <c r="P28" s="174"/>
      <c r="Q28" s="174"/>
      <c r="R28" s="174"/>
      <c r="S28" s="174"/>
      <c r="T28" s="174"/>
      <c r="U28" s="174"/>
      <c r="V28" s="174"/>
      <c r="W28" s="190"/>
      <c r="X28" s="174"/>
      <c r="Z28" s="403"/>
      <c r="AA28" s="404"/>
      <c r="AB28" s="404"/>
      <c r="AC28" s="404"/>
      <c r="AD28" s="404"/>
    </row>
    <row r="29" spans="1:30" ht="14.25" customHeight="1">
      <c r="A29" s="219"/>
      <c r="B29" s="174"/>
      <c r="C29" s="220"/>
      <c r="D29" s="220"/>
      <c r="E29" s="65"/>
      <c r="F29" s="221" t="s">
        <v>49</v>
      </c>
      <c r="G29" s="198"/>
      <c r="H29" s="609">
        <f>IF(ISERROR(IF(E32="",E29/J40,E32)),0,IF(E32="",E29/J40,E32))</f>
        <v>0</v>
      </c>
      <c r="I29" s="174"/>
      <c r="J29" s="174"/>
      <c r="K29" s="174"/>
      <c r="L29" s="174"/>
      <c r="M29" s="174"/>
      <c r="N29" s="174"/>
      <c r="O29" s="174"/>
      <c r="P29" s="174"/>
      <c r="Q29" s="174"/>
      <c r="R29" s="174"/>
      <c r="S29" s="174"/>
      <c r="T29" s="174"/>
      <c r="U29" s="174"/>
      <c r="V29" s="174"/>
      <c r="W29" s="190"/>
      <c r="X29" s="174"/>
      <c r="Z29" s="403"/>
      <c r="AA29" s="404"/>
      <c r="AB29" s="404"/>
      <c r="AC29" s="404"/>
      <c r="AD29" s="404"/>
    </row>
    <row r="30" spans="1:30" ht="14.25" customHeight="1">
      <c r="A30" s="219"/>
      <c r="B30" s="222"/>
      <c r="C30" s="174"/>
      <c r="D30" s="174"/>
      <c r="E30" s="174"/>
      <c r="F30" s="174"/>
      <c r="G30" s="174"/>
      <c r="H30" s="174"/>
      <c r="I30" s="174"/>
      <c r="J30" s="174"/>
      <c r="K30" s="174"/>
      <c r="L30" s="174"/>
      <c r="M30" s="174"/>
      <c r="N30" s="174"/>
      <c r="O30" s="174"/>
      <c r="P30" s="174"/>
      <c r="Q30" s="174"/>
      <c r="R30" s="174"/>
      <c r="S30" s="174"/>
      <c r="T30" s="174"/>
      <c r="U30" s="174"/>
      <c r="V30" s="174"/>
      <c r="W30" s="190"/>
      <c r="X30" s="174"/>
      <c r="Z30" s="403"/>
      <c r="AA30" s="404"/>
      <c r="AB30" s="404"/>
      <c r="AC30" s="404"/>
      <c r="AD30" s="404"/>
    </row>
    <row r="31" spans="1:30" ht="13.5" customHeight="1">
      <c r="A31" s="223"/>
      <c r="B31" s="174"/>
      <c r="C31" s="174"/>
      <c r="D31" s="174"/>
      <c r="E31" s="174"/>
      <c r="F31" s="174"/>
      <c r="G31" s="174"/>
      <c r="H31" s="174"/>
      <c r="I31" s="174"/>
      <c r="J31" s="174"/>
      <c r="K31" s="174"/>
      <c r="L31" s="174"/>
      <c r="M31" s="174"/>
      <c r="N31" s="174"/>
      <c r="O31" s="174"/>
      <c r="P31" s="174"/>
      <c r="Q31" s="174"/>
      <c r="R31" s="174"/>
      <c r="S31" s="174"/>
      <c r="T31" s="174"/>
      <c r="U31" s="174"/>
      <c r="V31" s="174"/>
      <c r="W31" s="190"/>
      <c r="X31" s="174"/>
      <c r="Z31" s="403"/>
      <c r="AA31" s="404"/>
      <c r="AB31" s="404"/>
      <c r="AC31" s="404"/>
      <c r="AD31" s="404"/>
    </row>
    <row r="32" spans="1:30" ht="13.5" customHeight="1">
      <c r="A32" s="180"/>
      <c r="B32" s="174"/>
      <c r="C32" s="174"/>
      <c r="D32" s="174"/>
      <c r="E32" s="166"/>
      <c r="F32" s="224"/>
      <c r="G32" s="174"/>
      <c r="H32" s="406"/>
      <c r="I32" s="174"/>
      <c r="J32" s="174"/>
      <c r="K32" s="174"/>
      <c r="L32" s="174"/>
      <c r="M32" s="174"/>
      <c r="N32" s="174"/>
      <c r="O32" s="174"/>
      <c r="P32" s="174"/>
      <c r="Q32" s="407" t="s">
        <v>49</v>
      </c>
      <c r="R32" s="174"/>
      <c r="S32" s="174"/>
      <c r="T32" s="174"/>
      <c r="U32" s="174"/>
      <c r="V32" s="174"/>
      <c r="W32" s="190"/>
      <c r="X32" s="174"/>
      <c r="Z32" s="403"/>
      <c r="AA32" s="404"/>
      <c r="AB32" s="404"/>
      <c r="AC32" s="404"/>
      <c r="AD32" s="404"/>
    </row>
    <row r="33" spans="1:30" ht="15.75" thickBot="1">
      <c r="A33" s="214"/>
      <c r="B33" s="229"/>
      <c r="C33" s="229"/>
      <c r="D33" s="229"/>
      <c r="E33" s="215"/>
      <c r="F33" s="215"/>
      <c r="G33" s="215"/>
      <c r="H33" s="215"/>
      <c r="I33" s="215"/>
      <c r="J33" s="215"/>
      <c r="K33" s="215"/>
      <c r="L33" s="215"/>
      <c r="M33" s="215"/>
      <c r="N33" s="215"/>
      <c r="O33" s="215"/>
      <c r="P33" s="174"/>
      <c r="Q33" s="407"/>
      <c r="R33" s="174"/>
      <c r="S33" s="174"/>
      <c r="T33" s="174"/>
      <c r="U33" s="174"/>
      <c r="V33" s="174"/>
      <c r="W33" s="190"/>
      <c r="Z33" s="403"/>
      <c r="AA33" s="403"/>
      <c r="AB33" s="408"/>
      <c r="AC33" s="409"/>
      <c r="AD33" s="410"/>
    </row>
    <row r="34" spans="1:30" ht="13.5" thickTop="1">
      <c r="A34" s="180"/>
      <c r="B34" s="174"/>
      <c r="C34" s="232" t="s">
        <v>25</v>
      </c>
      <c r="D34" s="232"/>
      <c r="E34" s="61"/>
      <c r="F34" s="233" t="s">
        <v>49</v>
      </c>
      <c r="G34" s="234"/>
      <c r="H34" s="234"/>
      <c r="I34" s="235"/>
      <c r="J34" s="236" t="s">
        <v>24</v>
      </c>
      <c r="K34" s="411"/>
      <c r="L34" s="237"/>
      <c r="M34" s="237"/>
      <c r="N34" s="237"/>
      <c r="O34" s="238"/>
      <c r="P34" s="239" t="s">
        <v>23</v>
      </c>
      <c r="Q34" s="900" t="s">
        <v>80</v>
      </c>
      <c r="R34" s="901"/>
      <c r="S34" s="901"/>
      <c r="T34" s="901"/>
      <c r="U34" s="901"/>
      <c r="V34" s="901"/>
      <c r="W34" s="902"/>
      <c r="X34" s="239"/>
      <c r="Z34" s="412"/>
      <c r="AA34" s="413"/>
      <c r="AB34" s="414"/>
      <c r="AC34" s="414"/>
      <c r="AD34" s="415"/>
    </row>
    <row r="35" spans="1:30" ht="13.5" thickBot="1">
      <c r="A35" s="180"/>
      <c r="B35" s="174"/>
      <c r="C35" s="198" t="s">
        <v>0</v>
      </c>
      <c r="D35" s="198"/>
      <c r="E35" s="62"/>
      <c r="F35" s="233" t="s">
        <v>49</v>
      </c>
      <c r="G35" s="174"/>
      <c r="H35" s="242"/>
      <c r="I35" s="220"/>
      <c r="J35" s="243" t="s">
        <v>4</v>
      </c>
      <c r="K35" s="416" t="s">
        <v>96</v>
      </c>
      <c r="L35" s="244" t="s">
        <v>7</v>
      </c>
      <c r="M35" s="244">
        <f>IF(Scale_Off="",0,(VLOOKUP(Scale_Off,hbx,2,FALSE)))</f>
        <v>0</v>
      </c>
      <c r="N35" s="244" t="s">
        <v>67</v>
      </c>
      <c r="O35" s="245" t="s">
        <v>2</v>
      </c>
      <c r="P35" s="212"/>
      <c r="Q35" s="417"/>
      <c r="R35" s="418" t="s">
        <v>4</v>
      </c>
      <c r="S35" s="418" t="s">
        <v>96</v>
      </c>
      <c r="T35" s="418" t="s">
        <v>7</v>
      </c>
      <c r="U35" s="244">
        <f>IF(Scale_Off="",0,(VLOOKUP(Scale_Off,hbx,2,FALSE)))</f>
        <v>0</v>
      </c>
      <c r="V35" s="418" t="s">
        <v>67</v>
      </c>
      <c r="W35" s="419" t="s">
        <v>2</v>
      </c>
      <c r="X35" s="212"/>
      <c r="Z35" s="412"/>
      <c r="AA35" s="413"/>
      <c r="AB35" s="414"/>
      <c r="AC35" s="414"/>
      <c r="AD35" s="415"/>
    </row>
    <row r="36" spans="1:30" ht="18.75" customHeight="1">
      <c r="A36" s="250"/>
      <c r="B36" s="220"/>
      <c r="C36" s="198" t="s">
        <v>52</v>
      </c>
      <c r="D36" s="198"/>
      <c r="E36" s="63"/>
      <c r="F36" s="233" t="s">
        <v>49</v>
      </c>
      <c r="G36" s="174"/>
      <c r="H36" s="242" t="s">
        <v>100</v>
      </c>
      <c r="I36" s="220"/>
      <c r="J36" s="251">
        <f>IF(Instructor_Off="",0,VLOOKUP(Instructor_Off,Instr_Range_off,2))</f>
        <v>0</v>
      </c>
      <c r="K36" s="67"/>
      <c r="L36" s="252">
        <f>SUM(Instr_Tot_HST_off)</f>
        <v>687200</v>
      </c>
      <c r="M36" s="252">
        <f>IF(Scale_Off&gt;=4,SUM(Instr_Tot_HSR_off),0)</f>
        <v>0</v>
      </c>
      <c r="N36" s="252">
        <f>IF(Instructor_Off="","",((O36-(Instr_base_Off+SUM(Instr_Tot_HST_off)+SUM(Instr_Tot_HSR_off)+SUM(inst_osc_off)))))</f>
      </c>
      <c r="O36" s="253">
        <f>IF(Instructor_Off="","",$E$29)</f>
      </c>
      <c r="P36" s="212"/>
      <c r="Q36" s="254"/>
      <c r="R36" s="610"/>
      <c r="S36" s="610"/>
      <c r="T36" s="610"/>
      <c r="U36" s="610"/>
      <c r="V36" s="610"/>
      <c r="W36" s="611">
        <f>SUM(R36:V36)</f>
        <v>0</v>
      </c>
      <c r="X36" s="212"/>
      <c r="Z36" s="412"/>
      <c r="AA36" s="413"/>
      <c r="AB36" s="414"/>
      <c r="AC36" s="414"/>
      <c r="AD36" s="415"/>
    </row>
    <row r="37" spans="1:30" ht="18.75" customHeight="1">
      <c r="A37" s="180"/>
      <c r="B37" s="174"/>
      <c r="C37" s="198" t="s">
        <v>45</v>
      </c>
      <c r="D37" s="198"/>
      <c r="E37" s="63"/>
      <c r="F37" s="242"/>
      <c r="G37" s="242"/>
      <c r="H37" s="420" t="s">
        <v>99</v>
      </c>
      <c r="I37" s="220"/>
      <c r="J37" s="255">
        <f>IF(Assistant_Off="",0,VLOOKUP(Assistant_Off,Asst_Prof_Off,2))</f>
        <v>0</v>
      </c>
      <c r="K37" s="68"/>
      <c r="L37" s="252">
        <f>SUM(Asst_Tot_HST_Off)</f>
        <v>963800</v>
      </c>
      <c r="M37" s="252">
        <f>IF(Scale_Off&gt;=4,SUM(Asst_Tot_HSR_Off),0)</f>
        <v>0</v>
      </c>
      <c r="N37" s="252">
        <f>IF(Assistant_Off="","",((O37-(Asst_base_Off+SUM(Asst_Tot_HST_Off)+SUM(Asst_Tot_HSR_Off)+SUM(asst_osc_off)))))</f>
      </c>
      <c r="O37" s="253">
        <f>IF(Assistant_Off="","",$E$29)</f>
      </c>
      <c r="P37" s="196"/>
      <c r="Q37" s="254"/>
      <c r="R37" s="612"/>
      <c r="S37" s="612"/>
      <c r="T37" s="612"/>
      <c r="U37" s="612"/>
      <c r="V37" s="612"/>
      <c r="W37" s="611">
        <f>SUM(R37:V37)</f>
        <v>0</v>
      </c>
      <c r="X37" s="196"/>
      <c r="Z37" s="412"/>
      <c r="AA37" s="413"/>
      <c r="AB37" s="414"/>
      <c r="AC37" s="414"/>
      <c r="AD37" s="415"/>
    </row>
    <row r="38" spans="1:30" ht="18.75" customHeight="1">
      <c r="A38" s="180"/>
      <c r="B38" s="174"/>
      <c r="C38" s="198" t="s">
        <v>46</v>
      </c>
      <c r="D38" s="198"/>
      <c r="E38" s="63"/>
      <c r="F38" s="242"/>
      <c r="G38" s="242"/>
      <c r="H38" s="420" t="s">
        <v>98</v>
      </c>
      <c r="I38" s="220"/>
      <c r="J38" s="255">
        <f>IF(Associate_Off="",0,VLOOKUP(Associate_Off,Assoc_Prof_Off,2))</f>
        <v>0</v>
      </c>
      <c r="K38" s="68"/>
      <c r="L38" s="252">
        <f>SUM(Assoc_Tot_HST_Off)</f>
        <v>0</v>
      </c>
      <c r="M38" s="252">
        <f>IF(Scale_Off&gt;=4,SUM(Assoc_Tot_HSR_Off),0)</f>
        <v>0</v>
      </c>
      <c r="N38" s="252">
        <f>IF(Associate_Off="","",(O38-(Assoc_base_Off+SUM(Assoc_Tot_HST_Off)+SUM(Assoc_Tot_HSR_Off)+SUM(assoc_osc_off))))</f>
      </c>
      <c r="O38" s="253">
        <f>IF(Associate_Off="","",$E$29)</f>
      </c>
      <c r="P38" s="196"/>
      <c r="Q38" s="256"/>
      <c r="R38" s="257">
        <v>0</v>
      </c>
      <c r="S38" s="257">
        <v>0</v>
      </c>
      <c r="T38" s="258">
        <v>0</v>
      </c>
      <c r="U38" s="258">
        <v>0</v>
      </c>
      <c r="V38" s="258"/>
      <c r="W38" s="421"/>
      <c r="X38" s="196"/>
      <c r="Z38" s="412"/>
      <c r="AA38" s="413"/>
      <c r="AB38" s="414"/>
      <c r="AC38" s="414"/>
      <c r="AD38" s="415"/>
    </row>
    <row r="39" spans="1:30" ht="18.75" customHeight="1" thickBot="1">
      <c r="A39" s="214"/>
      <c r="B39" s="215"/>
      <c r="C39" s="261" t="s">
        <v>47</v>
      </c>
      <c r="D39" s="261"/>
      <c r="E39" s="64"/>
      <c r="F39" s="262"/>
      <c r="G39" s="242"/>
      <c r="H39" s="422" t="s">
        <v>97</v>
      </c>
      <c r="I39" s="423"/>
      <c r="J39" s="264">
        <f>IF(Prof_Off="",0,VLOOKUP(Prof_Off,Professor_Off,2))</f>
        <v>0</v>
      </c>
      <c r="K39" s="69"/>
      <c r="L39" s="265">
        <f>SUM(Prof_Tot_HST_Off)</f>
        <v>0</v>
      </c>
      <c r="M39" s="265">
        <f>IF(Scale_Off&gt;=4,SUM(Prof_Tot_HSR_Off),0)</f>
        <v>0</v>
      </c>
      <c r="N39" s="266">
        <f>IF(Prof_Off="","",(O39-(Prof_base_Off+SUM(Prof_Tot_HST_Off)+SUM(Prof_Tot_HSR_Off)+SUM(prof_osc_off))))</f>
      </c>
      <c r="O39" s="253">
        <f>IF(Prof_Off="","",$E$29)</f>
      </c>
      <c r="P39" s="200"/>
      <c r="Q39" s="268"/>
      <c r="R39" s="269">
        <v>0</v>
      </c>
      <c r="S39" s="269">
        <v>0</v>
      </c>
      <c r="T39" s="270">
        <v>0</v>
      </c>
      <c r="U39" s="270">
        <v>0</v>
      </c>
      <c r="V39" s="270"/>
      <c r="W39" s="424"/>
      <c r="X39" s="200"/>
      <c r="Z39" s="395"/>
      <c r="AA39" s="425"/>
      <c r="AB39" s="396"/>
      <c r="AC39" s="396"/>
      <c r="AD39" s="396"/>
    </row>
    <row r="40" spans="1:30" ht="13.5" thickTop="1">
      <c r="A40" s="180"/>
      <c r="B40" s="174"/>
      <c r="C40" s="174"/>
      <c r="D40" s="174"/>
      <c r="E40" s="174"/>
      <c r="F40" s="174"/>
      <c r="G40" s="184"/>
      <c r="H40" s="185"/>
      <c r="I40" s="273" t="s">
        <v>166</v>
      </c>
      <c r="J40" s="274">
        <f>SUM(J36:J39)*$E$34</f>
        <v>0</v>
      </c>
      <c r="K40" s="274">
        <f>SUM(K36:K39)*$E$34</f>
        <v>0</v>
      </c>
      <c r="L40" s="274">
        <f>SUM(L36:L39)*$E$34</f>
        <v>0</v>
      </c>
      <c r="M40" s="274">
        <f>SUM(M36:M39)*$E$34</f>
        <v>0</v>
      </c>
      <c r="N40" s="274">
        <f>SUM(N36:N39)*$E$34</f>
        <v>0</v>
      </c>
      <c r="O40" s="274">
        <f>SUM(J40:N40)</f>
        <v>0</v>
      </c>
      <c r="P40" s="196"/>
      <c r="Q40" s="199" t="s">
        <v>5</v>
      </c>
      <c r="R40" s="347">
        <f aca="true" t="shared" si="2" ref="R40:W40">SUM(R36:R39)</f>
        <v>0</v>
      </c>
      <c r="S40" s="347">
        <f t="shared" si="2"/>
        <v>0</v>
      </c>
      <c r="T40" s="347">
        <f t="shared" si="2"/>
        <v>0</v>
      </c>
      <c r="U40" s="347">
        <f t="shared" si="2"/>
        <v>0</v>
      </c>
      <c r="V40" s="347">
        <f t="shared" si="2"/>
        <v>0</v>
      </c>
      <c r="W40" s="613">
        <f t="shared" si="2"/>
        <v>0</v>
      </c>
      <c r="X40" s="196"/>
      <c r="AA40" s="415"/>
      <c r="AB40" s="415"/>
      <c r="AC40" s="415"/>
      <c r="AD40" s="396"/>
    </row>
    <row r="41" spans="1:30" ht="12.75">
      <c r="A41" s="180"/>
      <c r="B41" s="277"/>
      <c r="C41" s="174"/>
      <c r="D41" s="174"/>
      <c r="E41" s="174"/>
      <c r="F41" s="174"/>
      <c r="G41" s="184"/>
      <c r="H41" s="185"/>
      <c r="I41" s="273" t="s">
        <v>167</v>
      </c>
      <c r="J41" s="426">
        <f aca="true" t="shared" si="3" ref="J41:O41">J40/12</f>
        <v>0</v>
      </c>
      <c r="K41" s="426">
        <f t="shared" si="3"/>
        <v>0</v>
      </c>
      <c r="L41" s="426">
        <f t="shared" si="3"/>
        <v>0</v>
      </c>
      <c r="M41" s="426">
        <f t="shared" si="3"/>
        <v>0</v>
      </c>
      <c r="N41" s="426">
        <f t="shared" si="3"/>
        <v>0</v>
      </c>
      <c r="O41" s="278">
        <f t="shared" si="3"/>
        <v>0</v>
      </c>
      <c r="P41" s="427"/>
      <c r="Q41" s="427"/>
      <c r="R41" s="427"/>
      <c r="S41" s="427"/>
      <c r="T41" s="427"/>
      <c r="U41" s="427"/>
      <c r="V41" s="427"/>
      <c r="W41" s="428"/>
      <c r="X41" s="427"/>
      <c r="AA41" s="415"/>
      <c r="AB41" s="415"/>
      <c r="AC41" s="415"/>
      <c r="AD41" s="396"/>
    </row>
    <row r="42" spans="1:31" ht="13.5" thickBot="1">
      <c r="A42" s="281" t="s">
        <v>49</v>
      </c>
      <c r="B42" s="174"/>
      <c r="C42" s="174"/>
      <c r="D42" s="174"/>
      <c r="E42" s="174"/>
      <c r="F42" s="174"/>
      <c r="G42" s="282"/>
      <c r="H42" s="174"/>
      <c r="I42" s="283"/>
      <c r="J42" s="284"/>
      <c r="K42" s="284"/>
      <c r="L42" s="284"/>
      <c r="M42" s="284"/>
      <c r="N42" s="284"/>
      <c r="O42" s="284"/>
      <c r="P42" s="174"/>
      <c r="Q42" s="183" t="s">
        <v>49</v>
      </c>
      <c r="R42" s="183"/>
      <c r="S42" s="285"/>
      <c r="T42" s="285"/>
      <c r="U42" s="285"/>
      <c r="V42" s="285"/>
      <c r="W42" s="286"/>
      <c r="X42" s="287"/>
      <c r="AE42" s="415"/>
    </row>
    <row r="43" spans="1:30" ht="13.5" thickBot="1">
      <c r="A43" s="288" t="s">
        <v>163</v>
      </c>
      <c r="B43" s="289"/>
      <c r="C43" s="290"/>
      <c r="D43" s="291"/>
      <c r="E43" s="292"/>
      <c r="F43" s="293"/>
      <c r="G43" s="293"/>
      <c r="H43" s="293"/>
      <c r="I43" s="294"/>
      <c r="J43" s="896" t="s">
        <v>3</v>
      </c>
      <c r="K43" s="897"/>
      <c r="L43" s="897"/>
      <c r="M43" s="897"/>
      <c r="N43" s="897"/>
      <c r="O43" s="898"/>
      <c r="P43" s="174"/>
      <c r="Q43" s="893" t="s">
        <v>135</v>
      </c>
      <c r="R43" s="894"/>
      <c r="S43" s="894"/>
      <c r="T43" s="894"/>
      <c r="U43" s="894"/>
      <c r="V43" s="895"/>
      <c r="W43" s="296"/>
      <c r="X43" s="239"/>
      <c r="Y43" s="429" t="s">
        <v>23</v>
      </c>
      <c r="Z43" s="430"/>
      <c r="AA43" s="430"/>
      <c r="AB43" s="430"/>
      <c r="AC43" s="430"/>
      <c r="AD43" s="430"/>
    </row>
    <row r="44" spans="1:30" ht="40.5" customHeight="1" thickBot="1">
      <c r="A44" s="298" t="s">
        <v>28</v>
      </c>
      <c r="B44" s="299" t="s">
        <v>31</v>
      </c>
      <c r="C44" s="300" t="s">
        <v>33</v>
      </c>
      <c r="D44" s="300" t="s">
        <v>83</v>
      </c>
      <c r="E44" s="301" t="s">
        <v>32</v>
      </c>
      <c r="F44" s="302" t="s">
        <v>29</v>
      </c>
      <c r="G44" s="302" t="s">
        <v>54</v>
      </c>
      <c r="H44" s="302" t="s">
        <v>53</v>
      </c>
      <c r="I44" s="303" t="s">
        <v>30</v>
      </c>
      <c r="J44" s="416" t="s">
        <v>4</v>
      </c>
      <c r="K44" s="416" t="s">
        <v>96</v>
      </c>
      <c r="L44" s="305" t="s">
        <v>7</v>
      </c>
      <c r="M44" s="244">
        <f>IF(Scale_Off="",0,(VLOOKUP(Scale_Off,hbx,2,FALSE)))</f>
        <v>0</v>
      </c>
      <c r="N44" s="309" t="s">
        <v>67</v>
      </c>
      <c r="O44" s="431" t="s">
        <v>5</v>
      </c>
      <c r="P44" s="297" t="s">
        <v>23</v>
      </c>
      <c r="Q44" s="308" t="s">
        <v>4</v>
      </c>
      <c r="R44" s="304" t="s">
        <v>96</v>
      </c>
      <c r="S44" s="305" t="s">
        <v>7</v>
      </c>
      <c r="T44" s="244">
        <f>IF(Scale_Off="",0,(VLOOKUP(Scale_Off,hbx,2,FALSE)))</f>
        <v>0</v>
      </c>
      <c r="U44" s="309" t="s">
        <v>67</v>
      </c>
      <c r="V44" s="432" t="s">
        <v>2</v>
      </c>
      <c r="W44" s="311"/>
      <c r="X44" s="297"/>
      <c r="AA44" s="430"/>
      <c r="AB44" s="430"/>
      <c r="AC44" s="430"/>
      <c r="AD44" s="430"/>
    </row>
    <row r="45" spans="1:25" ht="2.25" customHeight="1">
      <c r="A45" s="312"/>
      <c r="B45" s="313"/>
      <c r="C45" s="174"/>
      <c r="D45" s="174"/>
      <c r="E45" s="174"/>
      <c r="F45" s="174"/>
      <c r="G45" s="174"/>
      <c r="H45" s="174"/>
      <c r="I45" s="314"/>
      <c r="J45" s="433"/>
      <c r="K45" s="316"/>
      <c r="L45" s="316"/>
      <c r="M45" s="244"/>
      <c r="N45" s="316"/>
      <c r="O45" s="434"/>
      <c r="P45" s="220"/>
      <c r="Q45" s="317"/>
      <c r="R45" s="317"/>
      <c r="S45" s="317"/>
      <c r="T45" s="317"/>
      <c r="U45" s="317"/>
      <c r="V45" s="317"/>
      <c r="W45" s="319"/>
      <c r="X45" s="220"/>
      <c r="Y45" s="435"/>
    </row>
    <row r="46" spans="1:30" ht="16.5" customHeight="1">
      <c r="A46" s="659"/>
      <c r="B46" s="655"/>
      <c r="C46" s="58"/>
      <c r="D46" s="58"/>
      <c r="E46" s="71"/>
      <c r="F46" s="59"/>
      <c r="G46" s="332">
        <f>IF($E84=2,SUMIF(month_source_off,2,$W$83:$W$84),IF(E84=3,SUMIF(month_source_off,3,$W$83:$W$84),IF(E84=4,F46*month_total_off,"")))</f>
      </c>
      <c r="H46" s="333">
        <f>IF(A46="",(IF(OR(E84=2,E84=3),G46-(pct_xtrmrl_off*G46),IF(E84=4,F46*month_total_off,""))),IF((VLOOKUP(A46,limits_off,4,FALSE)*$F46*time_off)&lt;G46,(VLOOKUP(A46,limits_off,4,FALSE)*$F46*time_off),IF(OR(E84=2,E84=3),G46-(pct_xtrmrl_off*G46),IF(E84=4,F46*month_total_off,""))))</f>
      </c>
      <c r="I46" s="324">
        <f>IF(H46="","",H46/month_total_off)</f>
      </c>
      <c r="J46" s="436">
        <f>IF($A46="",IF(J84="","",IF(fundtype1_off=4,J84,J84-(pct_xtrmrl_off*J84))),$I46*J$41)</f>
      </c>
      <c r="K46" s="436">
        <f>IF($A46="",IF(K84="","",IF(fundtype1_off=4,K84,K84-(pct_xtrmrl_off*K84))),$I46*K$41)</f>
      </c>
      <c r="L46" s="436">
        <f>IF($A46="",IF(L84="","",IF(fundtype1_off=4,L84,L84-(pct_xtrmrl_off*L84))),$I46*L$41)</f>
      </c>
      <c r="M46" s="436">
        <f>IF($A46="",IF(M84="","",IF(fundtype1_off=4,M84,M84-(pct_xtrmrl_off*M84))),$I46*M$41)</f>
      </c>
      <c r="N46" s="436">
        <f>IF($A46="",IF(N84="","",IF(fundtype1_off=4,N84,N84-(pct_xtrmrl_off*N84))),$I46*N$41)</f>
      </c>
      <c r="O46" s="437">
        <f aca="true" t="shared" si="4" ref="O46:O64">SUM(J46:N46)</f>
        <v>0</v>
      </c>
      <c r="P46" s="326"/>
      <c r="Q46" s="257">
        <f aca="true" t="shared" si="5" ref="Q46:Q54">IF(OR(OverCAP_Off="No",$A46=""),0,($F46*(J$41))-(J46))</f>
        <v>0</v>
      </c>
      <c r="R46" s="438">
        <f aca="true" t="shared" si="6" ref="R46:R54">IF(OR(OverCAP_Off="No",$A46=""),0,($F46*(K$41))-(K46))</f>
        <v>0</v>
      </c>
      <c r="S46" s="258">
        <f aca="true" t="shared" si="7" ref="S46:S54">IF(OR(OverCAP_Off="No",$A46=""),0,($F46*(L$41))-(L46))</f>
        <v>0</v>
      </c>
      <c r="T46" s="258">
        <f aca="true" t="shared" si="8" ref="T46:T54">IF(OR(OverCAP_Off="No",$A46=""),0,($F46*(M$41))-(M46))</f>
        <v>0</v>
      </c>
      <c r="U46" s="258">
        <f aca="true" t="shared" si="9" ref="U46:U54">IF(OR(OverCAP_Off="No",$A46=""),0,($F46*(N$41))-(N46))</f>
        <v>0</v>
      </c>
      <c r="V46" s="331">
        <f aca="true" t="shared" si="10" ref="V46:V65">SUM(Q46:U46)</f>
        <v>0</v>
      </c>
      <c r="W46" s="328"/>
      <c r="X46" s="329"/>
      <c r="Y46" s="435"/>
      <c r="AA46" s="439"/>
      <c r="AB46" s="413"/>
      <c r="AC46" s="439"/>
      <c r="AD46" s="413"/>
    </row>
    <row r="47" spans="1:30" ht="17.25" customHeight="1">
      <c r="A47" s="659"/>
      <c r="B47" s="655"/>
      <c r="C47" s="58"/>
      <c r="D47" s="58"/>
      <c r="E47" s="71"/>
      <c r="F47" s="59"/>
      <c r="G47" s="332">
        <f aca="true" t="shared" si="11" ref="G47:G54">IF(E85=2,SUMIF(month_source_off,2,$W$83:$W$84),IF(E85=3,SUMIF(month_source_off,3,$W$83:$W$84),IF(E85=4,F47*month_total_off,"")))</f>
      </c>
      <c r="H47" s="333">
        <f>IF(A47="",(IF(OR(E85=2,E85=3),G47-(pct_xtrmrl_off*G47),IF(E85=4,F47*month_total_off,""))),IF((VLOOKUP(A47,limits_off,4,FALSE)*$F47*time_off)&lt;G47,(VLOOKUP(A47,limits_off,4,FALSE)*$F47*time_off),IF(OR(E85=2,E85=3),G47-(pct_xtrmrl_off*G47),IF(E85=4,F47*month_total_off,""))))</f>
      </c>
      <c r="I47" s="324">
        <f aca="true" t="shared" si="12" ref="I47:I54">IF(H47="","",H47/month_total_off)</f>
      </c>
      <c r="J47" s="436">
        <f>IF($A47="",IF(J85="","",IF(fundtype2_off=4,J85,J85-(pct_xtrmrl_off*J85))),$I47*J$41)</f>
      </c>
      <c r="K47" s="436">
        <f>IF($A47="",IF(K85="","",IF(fundtype2_off=4,K85,K85-(pct_xtrmrl_off*K85))),$I47*K$41)</f>
      </c>
      <c r="L47" s="436">
        <f>IF($A47="",IF(L85="","",IF(fundtype2_off=4,L85,L85-(pct_xtrmrl_off*L85))),$I47*L$41)</f>
      </c>
      <c r="M47" s="436">
        <f>IF($A47="",IF(M85="","",IF(fundtype2_off=4,M85,M85-(pct_xtrmrl_off*M85))),$I47*M$41)</f>
      </c>
      <c r="N47" s="436">
        <f>IF($A47="",IF(N85="","",IF(fundtype2_off=4,N85,N85-(pct_xtrmrl_off*N85))),$I47*N$41)</f>
      </c>
      <c r="O47" s="437">
        <f t="shared" si="4"/>
        <v>0</v>
      </c>
      <c r="P47" s="326"/>
      <c r="Q47" s="257">
        <f t="shared" si="5"/>
        <v>0</v>
      </c>
      <c r="R47" s="438">
        <f t="shared" si="6"/>
        <v>0</v>
      </c>
      <c r="S47" s="258">
        <f t="shared" si="7"/>
        <v>0</v>
      </c>
      <c r="T47" s="258">
        <f t="shared" si="8"/>
        <v>0</v>
      </c>
      <c r="U47" s="258">
        <f t="shared" si="9"/>
        <v>0</v>
      </c>
      <c r="V47" s="327">
        <f t="shared" si="10"/>
        <v>0</v>
      </c>
      <c r="W47" s="328"/>
      <c r="X47" s="329"/>
      <c r="Y47" s="435"/>
      <c r="AA47" s="439"/>
      <c r="AB47" s="413"/>
      <c r="AC47" s="439"/>
      <c r="AD47" s="413"/>
    </row>
    <row r="48" spans="1:30" ht="17.25" customHeight="1">
      <c r="A48" s="660"/>
      <c r="B48" s="655"/>
      <c r="C48" s="58"/>
      <c r="D48" s="58"/>
      <c r="E48" s="71"/>
      <c r="F48" s="59"/>
      <c r="G48" s="332">
        <f t="shared" si="11"/>
      </c>
      <c r="H48" s="333">
        <f aca="true" t="shared" si="13" ref="H48:H54">IF(A48="",(IF(OR(E86=2,E86=3),G48-(pct_xtrmrl_off*G48),IF(E86=4,F48*month_total_off,""))),IF((VLOOKUP(A48,limits_off,4,FALSE)*$F48*time_off)&lt;G48,(VLOOKUP(A48,limits_off,4,FALSE)*$F48*time_off),IF(OR(E86=2,E86=3),G48-(pct_xtrmrl_off*G48),IF(E86=4,F48*month_total_off,""))))</f>
      </c>
      <c r="I48" s="324">
        <f t="shared" si="12"/>
      </c>
      <c r="J48" s="436">
        <f>IF($A48="",IF(J86="","",IF(fundtype3_off=4,J86,J86-(pct_xtrmrl_off*J86))),$I48*J$41)</f>
      </c>
      <c r="K48" s="436">
        <f>IF($A48="",IF(K86="","",IF(fundtype3_off=4,K86,K86-(pct_xtrmrl_off*K86))),$I48*K$41)</f>
      </c>
      <c r="L48" s="436">
        <f>IF($A48="",IF(L86="","",IF(fundtype3_off=4,L86,L86-(pct_xtrmrl_off*L86))),$I48*L$41)</f>
      </c>
      <c r="M48" s="436">
        <f>IF($A48="",IF(M86="","",IF(fundtype3_off=4,M86,M86-(pct_xtrmrl_off*M86))),$I48*M$41)</f>
      </c>
      <c r="N48" s="436">
        <f>IF($A48="",IF(N86="","",IF(fundtype3_off=4,N86,N86-(pct_xtrmrl_off*N86))),$I48*N$41)</f>
      </c>
      <c r="O48" s="437">
        <f t="shared" si="4"/>
        <v>0</v>
      </c>
      <c r="P48" s="326"/>
      <c r="Q48" s="257">
        <f t="shared" si="5"/>
        <v>0</v>
      </c>
      <c r="R48" s="438">
        <f t="shared" si="6"/>
        <v>0</v>
      </c>
      <c r="S48" s="258">
        <f t="shared" si="7"/>
        <v>0</v>
      </c>
      <c r="T48" s="258">
        <f t="shared" si="8"/>
        <v>0</v>
      </c>
      <c r="U48" s="258">
        <f t="shared" si="9"/>
        <v>0</v>
      </c>
      <c r="V48" s="327">
        <f t="shared" si="10"/>
        <v>0</v>
      </c>
      <c r="W48" s="328"/>
      <c r="X48" s="329"/>
      <c r="Y48" s="435"/>
      <c r="AA48" s="439"/>
      <c r="AB48" s="413"/>
      <c r="AC48" s="439"/>
      <c r="AD48" s="413"/>
    </row>
    <row r="49" spans="1:30" ht="17.25" customHeight="1">
      <c r="A49" s="659"/>
      <c r="B49" s="655"/>
      <c r="C49" s="58"/>
      <c r="D49" s="58"/>
      <c r="E49" s="71"/>
      <c r="F49" s="59"/>
      <c r="G49" s="496">
        <f t="shared" si="11"/>
      </c>
      <c r="H49" s="333">
        <f t="shared" si="13"/>
      </c>
      <c r="I49" s="324">
        <f t="shared" si="12"/>
      </c>
      <c r="J49" s="436">
        <f>IF($A49="",IF(J87="","",IF(fundtype4_off=4,J87,J87-(pct_xtrmrl_off*J87))),$I49*J$41)</f>
      </c>
      <c r="K49" s="436">
        <f>IF($A49="",IF(K87="","",IF(fundtype4_off=4,K87,K87-(pct_xtrmrl_off*K87))),$I49*K$41)</f>
      </c>
      <c r="L49" s="436">
        <f>IF($A49="",IF(L87="","",IF(fundtype4_off=4,L87,L87-(pct_xtrmrl_off*L87))),$I49*L$41)</f>
      </c>
      <c r="M49" s="436">
        <f>IF($A49="",IF(M87="","",IF(fundtype4_off=4,M87,M87-(pct_xtrmrl_off*M87))),$I49*M$41)</f>
      </c>
      <c r="N49" s="436">
        <f>IF($A49="",IF(N87="","",IF(fundtype4_off=4,N87,N87-(pct_xtrmrl_off*N87))),$I49*N$41)</f>
      </c>
      <c r="O49" s="437">
        <f t="shared" si="4"/>
        <v>0</v>
      </c>
      <c r="P49" s="326"/>
      <c r="Q49" s="257">
        <f t="shared" si="5"/>
        <v>0</v>
      </c>
      <c r="R49" s="438">
        <f t="shared" si="6"/>
        <v>0</v>
      </c>
      <c r="S49" s="258">
        <f t="shared" si="7"/>
        <v>0</v>
      </c>
      <c r="T49" s="258">
        <f t="shared" si="8"/>
        <v>0</v>
      </c>
      <c r="U49" s="258">
        <f t="shared" si="9"/>
        <v>0</v>
      </c>
      <c r="V49" s="327">
        <f t="shared" si="10"/>
        <v>0</v>
      </c>
      <c r="W49" s="328"/>
      <c r="X49" s="329"/>
      <c r="Y49" s="435"/>
      <c r="AA49" s="439"/>
      <c r="AB49" s="413"/>
      <c r="AC49" s="439"/>
      <c r="AD49" s="413"/>
    </row>
    <row r="50" spans="1:30" ht="17.25" customHeight="1">
      <c r="A50" s="659"/>
      <c r="B50" s="655"/>
      <c r="C50" s="58"/>
      <c r="D50" s="58"/>
      <c r="E50" s="71"/>
      <c r="F50" s="59"/>
      <c r="G50" s="496">
        <f t="shared" si="11"/>
      </c>
      <c r="H50" s="333">
        <f t="shared" si="13"/>
      </c>
      <c r="I50" s="324">
        <f t="shared" si="12"/>
      </c>
      <c r="J50" s="436">
        <f>IF($A50="",IF(J88="","",IF(fundtype5_off=4,J88,J88-(pct_xtrmrl_off*J88))),$I50*J$41)</f>
      </c>
      <c r="K50" s="436">
        <f>IF($A50="",IF(K88="","",IF(fundtype5_off=4,K88,K88-(pct_xtrmrl_off*K88))),$I50*K$41)</f>
      </c>
      <c r="L50" s="436">
        <f>IF($A50="",IF(L88="","",IF(fundtype5_off=4,L88,L88-(pct_xtrmrl_off*L88))),$I50*L$41)</f>
      </c>
      <c r="M50" s="436">
        <f>IF($A50="",IF(M88="","",IF(fundtype5_off=4,M88,M88-(pct_xtrmrl_off*M88))),$I50*M$41)</f>
      </c>
      <c r="N50" s="436">
        <f>IF($A50="",IF(N88="","",IF(fundtype5_off=4,N88,N88-(pct_xtrmrl_off*N88))),$I50*N$41)</f>
      </c>
      <c r="O50" s="437">
        <f t="shared" si="4"/>
        <v>0</v>
      </c>
      <c r="P50" s="326"/>
      <c r="Q50" s="257">
        <f t="shared" si="5"/>
        <v>0</v>
      </c>
      <c r="R50" s="438">
        <f t="shared" si="6"/>
        <v>0</v>
      </c>
      <c r="S50" s="258">
        <f t="shared" si="7"/>
        <v>0</v>
      </c>
      <c r="T50" s="258">
        <f t="shared" si="8"/>
        <v>0</v>
      </c>
      <c r="U50" s="258">
        <f t="shared" si="9"/>
        <v>0</v>
      </c>
      <c r="V50" s="327">
        <f t="shared" si="10"/>
        <v>0</v>
      </c>
      <c r="W50" s="328"/>
      <c r="X50" s="329"/>
      <c r="Y50" s="435"/>
      <c r="AA50" s="439"/>
      <c r="AB50" s="413"/>
      <c r="AC50" s="439"/>
      <c r="AD50" s="413"/>
    </row>
    <row r="51" spans="1:30" ht="17.25" customHeight="1">
      <c r="A51" s="660"/>
      <c r="B51" s="655"/>
      <c r="C51" s="58"/>
      <c r="D51" s="58"/>
      <c r="E51" s="71"/>
      <c r="F51" s="59"/>
      <c r="G51" s="496">
        <f t="shared" si="11"/>
      </c>
      <c r="H51" s="333">
        <f t="shared" si="13"/>
      </c>
      <c r="I51" s="324">
        <f t="shared" si="12"/>
      </c>
      <c r="J51" s="436">
        <f>IF($A51="",IF(J89="","",IF(fundtype6_off=4,J89,J89-(pct_xtrmrl_off*J89))),$I51*J$41)</f>
      </c>
      <c r="K51" s="436">
        <f>IF($A51="",IF(K89="","",IF(fundtype6_off=4,K89,K89-(pct_xtrmrl_off*K89))),$I51*K$41)</f>
      </c>
      <c r="L51" s="436">
        <f>IF($A51="",IF(L89="","",IF(fundtype6_off=4,L89,L89-(pct_xtrmrl_off*L89))),$I51*L$41)</f>
      </c>
      <c r="M51" s="436">
        <f>IF($A51="",IF(M89="","",IF(fundtype6_off=4,M89,M89-(pct_xtrmrl_off*M89))),$I51*M$41)</f>
      </c>
      <c r="N51" s="436">
        <f>IF($A51="",IF(N89="","",IF(fundtype6_off=4,N89,N89-(pct_xtrmrl_off*N89))),$I51*N$41)</f>
      </c>
      <c r="O51" s="437">
        <f t="shared" si="4"/>
        <v>0</v>
      </c>
      <c r="P51" s="326"/>
      <c r="Q51" s="257">
        <f t="shared" si="5"/>
        <v>0</v>
      </c>
      <c r="R51" s="438">
        <f t="shared" si="6"/>
        <v>0</v>
      </c>
      <c r="S51" s="258">
        <f t="shared" si="7"/>
        <v>0</v>
      </c>
      <c r="T51" s="258">
        <f t="shared" si="8"/>
        <v>0</v>
      </c>
      <c r="U51" s="258">
        <f t="shared" si="9"/>
        <v>0</v>
      </c>
      <c r="V51" s="327">
        <f t="shared" si="10"/>
        <v>0</v>
      </c>
      <c r="W51" s="328"/>
      <c r="X51" s="329"/>
      <c r="Y51" s="435"/>
      <c r="AA51" s="439"/>
      <c r="AB51" s="413"/>
      <c r="AC51" s="439"/>
      <c r="AD51" s="413"/>
    </row>
    <row r="52" spans="1:30" ht="17.25" customHeight="1">
      <c r="A52" s="659"/>
      <c r="B52" s="655"/>
      <c r="C52" s="58"/>
      <c r="D52" s="58"/>
      <c r="E52" s="71"/>
      <c r="F52" s="59"/>
      <c r="G52" s="496">
        <f t="shared" si="11"/>
      </c>
      <c r="H52" s="333">
        <f t="shared" si="13"/>
      </c>
      <c r="I52" s="324">
        <f t="shared" si="12"/>
      </c>
      <c r="J52" s="436">
        <f>IF($A52="",IF(J90="","",IF(fundtype7_off=4,J90,J90-(pct_xtrmrl_off*J90))),$I52*J$41)</f>
      </c>
      <c r="K52" s="436">
        <f>IF($A52="",IF(K90="","",IF(fundtype7_off=4,K90,K90-(pct_xtrmrl_off*K90))),$I52*K$41)</f>
      </c>
      <c r="L52" s="436">
        <f>IF($A52="",IF(L90="","",IF(fundtype7_off=4,L90,L90-(pct_xtrmrl_off*L90))),$I52*L$41)</f>
      </c>
      <c r="M52" s="436">
        <f>IF($A52="",IF(M90="","",IF(fundtype7_off=4,M90,M90-(pct_xtrmrl_off*M90))),$I52*M$41)</f>
      </c>
      <c r="N52" s="436">
        <f>IF($A52="",IF(N90="","",IF(fundtype7_off=4,N90,N90-(pct_xtrmrl_off*N90))),$I52*N$41)</f>
      </c>
      <c r="O52" s="437">
        <f t="shared" si="4"/>
        <v>0</v>
      </c>
      <c r="P52" s="326"/>
      <c r="Q52" s="257">
        <f t="shared" si="5"/>
        <v>0</v>
      </c>
      <c r="R52" s="438">
        <f t="shared" si="6"/>
        <v>0</v>
      </c>
      <c r="S52" s="258">
        <f t="shared" si="7"/>
        <v>0</v>
      </c>
      <c r="T52" s="258">
        <f t="shared" si="8"/>
        <v>0</v>
      </c>
      <c r="U52" s="258">
        <f t="shared" si="9"/>
        <v>0</v>
      </c>
      <c r="V52" s="327">
        <f t="shared" si="10"/>
        <v>0</v>
      </c>
      <c r="W52" s="328"/>
      <c r="X52" s="329"/>
      <c r="Y52" s="435"/>
      <c r="AA52" s="439"/>
      <c r="AB52" s="413"/>
      <c r="AC52" s="439"/>
      <c r="AD52" s="413"/>
    </row>
    <row r="53" spans="1:30" ht="17.25" customHeight="1">
      <c r="A53" s="660"/>
      <c r="B53" s="655"/>
      <c r="C53" s="60"/>
      <c r="D53" s="58"/>
      <c r="E53" s="71"/>
      <c r="F53" s="59"/>
      <c r="G53" s="496">
        <f t="shared" si="11"/>
      </c>
      <c r="H53" s="333">
        <f t="shared" si="13"/>
      </c>
      <c r="I53" s="324">
        <f t="shared" si="12"/>
      </c>
      <c r="J53" s="436">
        <f>IF($A53="",IF(J91="","",IF(fundtype8_off=4,J91,J91-(pct_xtrmrl_off*J91))),$I53*J$41)</f>
      </c>
      <c r="K53" s="436">
        <f>IF($A53="",IF(K91="","",IF(fundtype8_off=4,K91,K91-(pct_xtrmrl_off*K91))),$I53*K$41)</f>
      </c>
      <c r="L53" s="436">
        <f>IF($A53="",IF(L91="","",IF(fundtype8_off=4,L91,L91-(pct_xtrmrl_off*L91))),$I53*L$41)</f>
      </c>
      <c r="M53" s="436">
        <f>IF($A53="",IF(M91="","",IF(fundtype8_off=4,M91,M91-(pct_xtrmrl_off*M91))),$I53*M$41)</f>
      </c>
      <c r="N53" s="436">
        <f>IF($A53="",IF(N91="","",IF(fundtype8_off=4,N91,N91-(pct_xtrmrl_off*N91))),$I53*N$41)</f>
      </c>
      <c r="O53" s="437">
        <f t="shared" si="4"/>
        <v>0</v>
      </c>
      <c r="P53" s="326"/>
      <c r="Q53" s="257">
        <f t="shared" si="5"/>
        <v>0</v>
      </c>
      <c r="R53" s="438">
        <f t="shared" si="6"/>
        <v>0</v>
      </c>
      <c r="S53" s="258">
        <f t="shared" si="7"/>
        <v>0</v>
      </c>
      <c r="T53" s="258">
        <f t="shared" si="8"/>
        <v>0</v>
      </c>
      <c r="U53" s="258">
        <f t="shared" si="9"/>
        <v>0</v>
      </c>
      <c r="V53" s="327">
        <f t="shared" si="10"/>
        <v>0</v>
      </c>
      <c r="W53" s="328"/>
      <c r="X53" s="329"/>
      <c r="Y53" s="435"/>
      <c r="AA53" s="439"/>
      <c r="AB53" s="413"/>
      <c r="AC53" s="439"/>
      <c r="AD53" s="413"/>
    </row>
    <row r="54" spans="1:30" ht="17.25" customHeight="1">
      <c r="A54" s="660"/>
      <c r="B54" s="655"/>
      <c r="C54" s="60"/>
      <c r="D54" s="58"/>
      <c r="E54" s="72"/>
      <c r="F54" s="59"/>
      <c r="G54" s="496">
        <f t="shared" si="11"/>
      </c>
      <c r="H54" s="333">
        <f t="shared" si="13"/>
      </c>
      <c r="I54" s="324">
        <f t="shared" si="12"/>
      </c>
      <c r="J54" s="436">
        <f>IF($A54="",IF(J92="","",IF(fundtype9_off=4,J92,J92-(pct_xtrmrl_off*J92))),$I54*J$41)</f>
      </c>
      <c r="K54" s="436">
        <f>IF($A54="",IF(K92="","",IF(fundtype9_off=4,K92,K92-(pct_xtrmrl_off*K92))),$I54*K$41)</f>
      </c>
      <c r="L54" s="436">
        <f>IF($A54="",IF(L92="","",IF(fundtype9_off=4,L92,L92-(pct_xtrmrl_off*L92))),$I54*L$41)</f>
      </c>
      <c r="M54" s="436">
        <f>IF($A54="",IF(M92="","",IF(fundtype9_off=4,M92,M92-(pct_xtrmrl_off*M92))),$I54*M$41)</f>
      </c>
      <c r="N54" s="436">
        <f>IF($A54="",IF(N92="","",IF(fundtype9_off=4,N92,N92-(pct_xtrmrl_off*N92))),$I54*N$41)</f>
      </c>
      <c r="O54" s="437">
        <f t="shared" si="4"/>
        <v>0</v>
      </c>
      <c r="P54" s="326"/>
      <c r="Q54" s="257">
        <f t="shared" si="5"/>
        <v>0</v>
      </c>
      <c r="R54" s="438">
        <f t="shared" si="6"/>
        <v>0</v>
      </c>
      <c r="S54" s="258">
        <f t="shared" si="7"/>
        <v>0</v>
      </c>
      <c r="T54" s="258">
        <f t="shared" si="8"/>
        <v>0</v>
      </c>
      <c r="U54" s="258">
        <f t="shared" si="9"/>
        <v>0</v>
      </c>
      <c r="V54" s="327">
        <f t="shared" si="10"/>
        <v>0</v>
      </c>
      <c r="W54" s="328"/>
      <c r="X54" s="329"/>
      <c r="Y54" s="435"/>
      <c r="AA54" s="439"/>
      <c r="AB54" s="413"/>
      <c r="AC54" s="439"/>
      <c r="AD54" s="413"/>
    </row>
    <row r="55" spans="1:30" ht="17.25" customHeight="1" hidden="1">
      <c r="A55" s="497"/>
      <c r="B55" s="498"/>
      <c r="C55" s="499"/>
      <c r="D55" s="499"/>
      <c r="E55" s="444"/>
      <c r="F55" s="500"/>
      <c r="G55" s="501"/>
      <c r="H55" s="440">
        <f aca="true" t="shared" si="14" ref="H55:H65">IF(ISERROR(IF(A55="",I55*(Annual_Salary/12),I55*(VLOOKUP(A55,SalaryLimits,2,FALSE))/12)),0,IF(A55="",I55*(Annual_Salary/12),I55*(VLOOKUP(A55,SalaryLimits,2,FALSE))/12))</f>
        <v>0</v>
      </c>
      <c r="I55" s="324">
        <f aca="true" t="shared" si="15" ref="I55:I65">IF(ISERROR(ROUND(IF(AND(F55="",A55=""),G55/(Annual_Salary/12),IF(AND(F55="",A55&lt;&gt;""),G55/(VLOOKUP(A55,SalaryLimits,2,FALSE)/12),F55)),4)),0,ROUND(IF(AND(F55="",A55=""),G55/(Annual_Salary/12),IF(AND(F55="",A55&lt;&gt;""),G55/(VLOOKUP(A55,SalaryLimits,2,FALSE)/12),F55)),4))</f>
        <v>0</v>
      </c>
      <c r="J55" s="436">
        <f aca="true" t="shared" si="16" ref="J55:J64">IF(ISERROR(IF(I55&lt;J91,I55,J91)),0,IF(I55&lt;J91,I55,J91))</f>
        <v>0</v>
      </c>
      <c r="K55" s="436"/>
      <c r="L55" s="441">
        <f aca="true" t="shared" si="17" ref="L55:L64">IF(ISERROR(IF(AA55&lt;L90,AA55,L90)),0,IF(AA55&lt;L90,AA55,L90))</f>
      </c>
      <c r="M55" s="441">
        <f aca="true" t="shared" si="18" ref="M55:M64">IF(ISERROR(IF(AB55&lt;M90,AB55,M90)),0,IF(AB55&lt;M90,AB55,M90))</f>
      </c>
      <c r="N55" s="442">
        <f aca="true" t="shared" si="19" ref="N55:N64">IF(ISERROR(IF(AC55&lt;N90,AC55,N90)),0,IF(AC55&lt;N90,AC55,N90))</f>
      </c>
      <c r="O55" s="437">
        <f t="shared" si="4"/>
        <v>0</v>
      </c>
      <c r="P55" s="326"/>
      <c r="Q55" s="257">
        <f>IF(OR(OverCAP="No",A55=""),0,(J55*(Annual_Salary/12))-(J55*(VLOOKUP(A55,SalaryLimits,2,FALSE)/12)))</f>
        <v>0</v>
      </c>
      <c r="R55" s="438"/>
      <c r="S55" s="258">
        <f>IF(OR(OverCAP="No",A55=""),0,(L55*(Annual_Salary/12))-(L55*(VLOOKUP(A55,SalaryLimits,2,FALSE)/12)))</f>
        <v>0</v>
      </c>
      <c r="T55" s="258">
        <f>IF(OR(OverCAP="No",A55=""),0,(M55*(Annual_Salary/12))-(M55*(VLOOKUP(A55,SalaryLimits,2,FALSE)/12)))</f>
        <v>0</v>
      </c>
      <c r="U55" s="258">
        <f>IF(OR(OverCAP="No",A55=""),0,(N55*(Annual_Salary/12))-(N55*(VLOOKUP(A55,SalaryLimits,2,FALSE)/12)))</f>
        <v>0</v>
      </c>
      <c r="V55" s="327">
        <f t="shared" si="10"/>
        <v>0</v>
      </c>
      <c r="W55" s="328"/>
      <c r="X55" s="329"/>
      <c r="Y55" s="435"/>
      <c r="AA55" s="439"/>
      <c r="AB55" s="413"/>
      <c r="AC55" s="439"/>
      <c r="AD55" s="413"/>
    </row>
    <row r="56" spans="1:30" ht="17.25" customHeight="1" hidden="1">
      <c r="A56" s="497"/>
      <c r="B56" s="498"/>
      <c r="C56" s="499"/>
      <c r="D56" s="499"/>
      <c r="E56" s="444"/>
      <c r="F56" s="500"/>
      <c r="G56" s="501"/>
      <c r="H56" s="440">
        <f t="shared" si="14"/>
        <v>0</v>
      </c>
      <c r="I56" s="324">
        <f t="shared" si="15"/>
        <v>0</v>
      </c>
      <c r="J56" s="436">
        <f t="shared" si="16"/>
        <v>0</v>
      </c>
      <c r="K56" s="436"/>
      <c r="L56" s="441">
        <f t="shared" si="17"/>
      </c>
      <c r="M56" s="441">
        <f t="shared" si="18"/>
      </c>
      <c r="N56" s="442">
        <f t="shared" si="19"/>
      </c>
      <c r="O56" s="437">
        <f t="shared" si="4"/>
        <v>0</v>
      </c>
      <c r="P56" s="326"/>
      <c r="Q56" s="257">
        <f>IF(OR(OverCAP="No",A56=""),0,(J56*(Annual_Salary/12))-(J56*(VLOOKUP(A56,SalaryLimits,2,FALSE)/12)))</f>
        <v>0</v>
      </c>
      <c r="R56" s="438"/>
      <c r="S56" s="258">
        <f>IF(OR(OverCAP="No",A56=""),0,(L56*(Annual_Salary/12))-(L56*(VLOOKUP(A56,SalaryLimits,2,FALSE)/12)))</f>
        <v>0</v>
      </c>
      <c r="T56" s="258">
        <f>IF(OR(OverCAP="No",A56=""),0,(M56*(Annual_Salary/12))-(M56*(VLOOKUP(A56,SalaryLimits,2,FALSE)/12)))</f>
        <v>0</v>
      </c>
      <c r="U56" s="258">
        <f>IF(OR(OverCAP="No",A56=""),0,(N56*(Annual_Salary/12))-(N56*(VLOOKUP(A56,SalaryLimits,2,FALSE)/12)))</f>
        <v>0</v>
      </c>
      <c r="V56" s="327">
        <f t="shared" si="10"/>
        <v>0</v>
      </c>
      <c r="W56" s="328"/>
      <c r="X56" s="329"/>
      <c r="Y56" s="435"/>
      <c r="AA56" s="439"/>
      <c r="AB56" s="413"/>
      <c r="AC56" s="439"/>
      <c r="AD56" s="413"/>
    </row>
    <row r="57" spans="1:30" ht="17.25" customHeight="1" hidden="1">
      <c r="A57" s="497"/>
      <c r="B57" s="498"/>
      <c r="C57" s="499"/>
      <c r="D57" s="499"/>
      <c r="E57" s="444"/>
      <c r="F57" s="500"/>
      <c r="G57" s="501"/>
      <c r="H57" s="440">
        <f t="shared" si="14"/>
        <v>0</v>
      </c>
      <c r="I57" s="324">
        <f t="shared" si="15"/>
        <v>0</v>
      </c>
      <c r="J57" s="436">
        <f t="shared" si="16"/>
        <v>0</v>
      </c>
      <c r="K57" s="436"/>
      <c r="L57" s="441">
        <f t="shared" si="17"/>
      </c>
      <c r="M57" s="441">
        <f t="shared" si="18"/>
      </c>
      <c r="N57" s="442">
        <f t="shared" si="19"/>
      </c>
      <c r="O57" s="437">
        <f t="shared" si="4"/>
        <v>0</v>
      </c>
      <c r="P57" s="326"/>
      <c r="Q57" s="257">
        <f>IF(OR(OverCAP="No",A57=""),0,(J57*(Annual_Salary/12))-(J57*(VLOOKUP(A57,SalaryLimits,2,FALSE)/12)))</f>
        <v>0</v>
      </c>
      <c r="R57" s="438"/>
      <c r="S57" s="258">
        <f>IF(OR(OverCAP="No",A57=""),0,(L57*(Annual_Salary/12))-(L57*(VLOOKUP(A57,SalaryLimits,2,FALSE)/12)))</f>
        <v>0</v>
      </c>
      <c r="T57" s="258">
        <f>IF(OR(OverCAP="No",A57=""),0,(M57*(Annual_Salary/12))-(M57*(VLOOKUP(A57,SalaryLimits,2,FALSE)/12)))</f>
        <v>0</v>
      </c>
      <c r="U57" s="258">
        <f>IF(OR(OverCAP="No",A57=""),0,(N57*(Annual_Salary/12))-(N57*(VLOOKUP(A57,SalaryLimits,2,FALSE)/12)))</f>
        <v>0</v>
      </c>
      <c r="V57" s="327">
        <f t="shared" si="10"/>
        <v>0</v>
      </c>
      <c r="W57" s="328"/>
      <c r="X57" s="329"/>
      <c r="Y57" s="435"/>
      <c r="AA57" s="439"/>
      <c r="AB57" s="413"/>
      <c r="AC57" s="439"/>
      <c r="AD57" s="413"/>
    </row>
    <row r="58" spans="1:30" ht="16.5" customHeight="1" hidden="1">
      <c r="A58" s="497"/>
      <c r="B58" s="498"/>
      <c r="C58" s="499"/>
      <c r="D58" s="499"/>
      <c r="E58" s="444"/>
      <c r="F58" s="500"/>
      <c r="G58" s="501"/>
      <c r="H58" s="440">
        <f t="shared" si="14"/>
        <v>0</v>
      </c>
      <c r="I58" s="324">
        <f t="shared" si="15"/>
        <v>0</v>
      </c>
      <c r="J58" s="436">
        <f t="shared" si="16"/>
        <v>0</v>
      </c>
      <c r="K58" s="436"/>
      <c r="L58" s="441">
        <f t="shared" si="17"/>
        <v>0</v>
      </c>
      <c r="M58" s="441">
        <f t="shared" si="18"/>
        <v>0</v>
      </c>
      <c r="N58" s="442">
        <f t="shared" si="19"/>
        <v>0</v>
      </c>
      <c r="O58" s="437">
        <f t="shared" si="4"/>
        <v>0</v>
      </c>
      <c r="P58" s="326"/>
      <c r="Q58" s="257">
        <f>IF(OR(OverCAP="No",A58=""),0,(J58*(Annual_Salary/12))-(J58*(VLOOKUP(A58,SalaryLimits,2,FALSE)/12)))</f>
        <v>0</v>
      </c>
      <c r="R58" s="438"/>
      <c r="S58" s="258">
        <f>IF(OR(OverCAP="No",A58=""),0,(L58*(Annual_Salary/12))-(L58*(VLOOKUP(A58,SalaryLimits,2,FALSE)/12)))</f>
        <v>0</v>
      </c>
      <c r="T58" s="258">
        <f>IF(OR(OverCAP="No",A58=""),0,(M58*(Annual_Salary/12))-(M58*(VLOOKUP(A58,SalaryLimits,2,FALSE)/12)))</f>
        <v>0</v>
      </c>
      <c r="U58" s="258">
        <f>IF(OR(OverCAP="No",A58=""),0,(N58*(Annual_Salary/12))-(N58*(VLOOKUP(A58,SalaryLimits,2,FALSE)/12)))</f>
        <v>0</v>
      </c>
      <c r="V58" s="327">
        <f t="shared" si="10"/>
        <v>0</v>
      </c>
      <c r="W58" s="328"/>
      <c r="X58" s="329"/>
      <c r="Y58" s="435"/>
      <c r="AA58" s="439"/>
      <c r="AB58" s="413"/>
      <c r="AC58" s="439"/>
      <c r="AD58" s="413"/>
    </row>
    <row r="59" spans="1:30" ht="16.5" customHeight="1" hidden="1">
      <c r="A59" s="497"/>
      <c r="B59" s="498"/>
      <c r="C59" s="499"/>
      <c r="D59" s="499"/>
      <c r="E59" s="444"/>
      <c r="F59" s="500"/>
      <c r="G59" s="501"/>
      <c r="H59" s="440">
        <f t="shared" si="14"/>
        <v>0</v>
      </c>
      <c r="I59" s="324">
        <f t="shared" si="15"/>
        <v>0</v>
      </c>
      <c r="J59" s="436">
        <f t="shared" si="16"/>
        <v>0</v>
      </c>
      <c r="K59" s="436"/>
      <c r="L59" s="441">
        <f t="shared" si="17"/>
        <v>0</v>
      </c>
      <c r="M59" s="441">
        <f t="shared" si="18"/>
        <v>0</v>
      </c>
      <c r="N59" s="442">
        <f t="shared" si="19"/>
        <v>0</v>
      </c>
      <c r="O59" s="437">
        <f t="shared" si="4"/>
        <v>0</v>
      </c>
      <c r="P59" s="326"/>
      <c r="Q59" s="257">
        <f>IF(OR(OverCAP="No",A59=""),0,(J59*(Annual_Salary/12))-(J59*(VLOOKUP(A59,SalaryLimits,2,FALSE)/12)))</f>
        <v>0</v>
      </c>
      <c r="R59" s="438"/>
      <c r="S59" s="258">
        <f>IF(OR(OverCAP="No",A59=""),0,(L59*(Annual_Salary/12))-(L59*(VLOOKUP(A59,SalaryLimits,2,FALSE)/12)))</f>
        <v>0</v>
      </c>
      <c r="T59" s="258">
        <f>IF(OR(OverCAP="No",A59=""),0,(M59*(Annual_Salary/12))-(M59*(VLOOKUP(A59,SalaryLimits,2,FALSE)/12)))</f>
        <v>0</v>
      </c>
      <c r="U59" s="258">
        <f>IF(OR(OverCAP="No",A59=""),0,(N59*(Annual_Salary/12))-(N59*(VLOOKUP(A59,SalaryLimits,2,FALSE)/12)))</f>
        <v>0</v>
      </c>
      <c r="V59" s="327">
        <f t="shared" si="10"/>
        <v>0</v>
      </c>
      <c r="W59" s="328"/>
      <c r="X59" s="329"/>
      <c r="Y59" s="435"/>
      <c r="AA59" s="439"/>
      <c r="AB59" s="413"/>
      <c r="AC59" s="439"/>
      <c r="AD59" s="413"/>
    </row>
    <row r="60" spans="1:30" ht="16.5" customHeight="1" hidden="1">
      <c r="A60" s="497"/>
      <c r="B60" s="498"/>
      <c r="C60" s="499"/>
      <c r="D60" s="499"/>
      <c r="E60" s="444"/>
      <c r="F60" s="500"/>
      <c r="G60" s="501"/>
      <c r="H60" s="440">
        <f t="shared" si="14"/>
        <v>0</v>
      </c>
      <c r="I60" s="324">
        <f t="shared" si="15"/>
        <v>0</v>
      </c>
      <c r="J60" s="436">
        <f t="shared" si="16"/>
        <v>0</v>
      </c>
      <c r="K60" s="436"/>
      <c r="L60" s="441">
        <f t="shared" si="17"/>
        <v>0</v>
      </c>
      <c r="M60" s="441">
        <f t="shared" si="18"/>
        <v>0</v>
      </c>
      <c r="N60" s="442">
        <f t="shared" si="19"/>
        <v>0</v>
      </c>
      <c r="O60" s="437">
        <f t="shared" si="4"/>
        <v>0</v>
      </c>
      <c r="P60" s="326"/>
      <c r="Q60" s="257">
        <f>IF(OR(OverCAP="No",A60=""),0,(J60*(Annual_Salary/12))-(J60*(VLOOKUP(A60,SalaryLimits,2,FALSE)/12)))</f>
        <v>0</v>
      </c>
      <c r="R60" s="438"/>
      <c r="S60" s="258">
        <f>IF(OR(OverCAP="No",A60=""),0,(L60*(Annual_Salary/12))-(L60*(VLOOKUP(A60,SalaryLimits,2,FALSE)/12)))</f>
        <v>0</v>
      </c>
      <c r="T60" s="258">
        <f>IF(OR(OverCAP="No",A60=""),0,(M60*(Annual_Salary/12))-(M60*(VLOOKUP(A60,SalaryLimits,2,FALSE)/12)))</f>
        <v>0</v>
      </c>
      <c r="U60" s="258">
        <f>IF(OR(OverCAP="No",A60=""),0,(N60*(Annual_Salary/12))-(N60*(VLOOKUP(A60,SalaryLimits,2,FALSE)/12)))</f>
        <v>0</v>
      </c>
      <c r="V60" s="327">
        <f t="shared" si="10"/>
        <v>0</v>
      </c>
      <c r="W60" s="328"/>
      <c r="X60" s="329"/>
      <c r="Y60" s="435"/>
      <c r="AA60" s="439"/>
      <c r="AB60" s="413"/>
      <c r="AC60" s="439"/>
      <c r="AD60" s="413"/>
    </row>
    <row r="61" spans="1:30" ht="16.5" customHeight="1" hidden="1">
      <c r="A61" s="497"/>
      <c r="B61" s="498"/>
      <c r="C61" s="499"/>
      <c r="D61" s="499"/>
      <c r="E61" s="444"/>
      <c r="F61" s="500"/>
      <c r="G61" s="501"/>
      <c r="H61" s="440">
        <f t="shared" si="14"/>
        <v>0</v>
      </c>
      <c r="I61" s="324">
        <f t="shared" si="15"/>
        <v>0</v>
      </c>
      <c r="J61" s="436">
        <f t="shared" si="16"/>
        <v>0</v>
      </c>
      <c r="K61" s="436"/>
      <c r="L61" s="441">
        <f t="shared" si="17"/>
        <v>0</v>
      </c>
      <c r="M61" s="441">
        <f t="shared" si="18"/>
        <v>0</v>
      </c>
      <c r="N61" s="442">
        <f t="shared" si="19"/>
        <v>0</v>
      </c>
      <c r="O61" s="437">
        <f t="shared" si="4"/>
        <v>0</v>
      </c>
      <c r="P61" s="326"/>
      <c r="Q61" s="257">
        <f>IF(OR(OverCAP="No",A61=""),0,(J61*(Annual_Salary/12))-(J61*(VLOOKUP(A61,SalaryLimits,2,FALSE)/12)))</f>
        <v>0</v>
      </c>
      <c r="R61" s="438"/>
      <c r="S61" s="258">
        <f>IF(OR(OverCAP="No",A61=""),0,(L61*(Annual_Salary/12))-(L61*(VLOOKUP(A61,SalaryLimits,2,FALSE)/12)))</f>
        <v>0</v>
      </c>
      <c r="T61" s="258">
        <f>IF(OR(OverCAP="No",A61=""),0,(M61*(Annual_Salary/12))-(M61*(VLOOKUP(A61,SalaryLimits,2,FALSE)/12)))</f>
        <v>0</v>
      </c>
      <c r="U61" s="258">
        <f>IF(OR(OverCAP="No",A61=""),0,(N61*(Annual_Salary/12))-(N61*(VLOOKUP(A61,SalaryLimits,2,FALSE)/12)))</f>
        <v>0</v>
      </c>
      <c r="V61" s="327">
        <f t="shared" si="10"/>
        <v>0</v>
      </c>
      <c r="W61" s="328"/>
      <c r="X61" s="329"/>
      <c r="Y61" s="435"/>
      <c r="AA61" s="439"/>
      <c r="AB61" s="413"/>
      <c r="AC61" s="439"/>
      <c r="AD61" s="413"/>
    </row>
    <row r="62" spans="1:30" ht="16.5" customHeight="1" hidden="1">
      <c r="A62" s="497"/>
      <c r="B62" s="498"/>
      <c r="C62" s="499"/>
      <c r="D62" s="499"/>
      <c r="E62" s="444"/>
      <c r="F62" s="500"/>
      <c r="G62" s="501"/>
      <c r="H62" s="440">
        <f t="shared" si="14"/>
        <v>0</v>
      </c>
      <c r="I62" s="324">
        <f t="shared" si="15"/>
        <v>0</v>
      </c>
      <c r="J62" s="436">
        <f t="shared" si="16"/>
        <v>0</v>
      </c>
      <c r="K62" s="436"/>
      <c r="L62" s="441">
        <f t="shared" si="17"/>
        <v>0</v>
      </c>
      <c r="M62" s="441">
        <f t="shared" si="18"/>
        <v>0</v>
      </c>
      <c r="N62" s="442">
        <f t="shared" si="19"/>
        <v>0</v>
      </c>
      <c r="O62" s="437">
        <f t="shared" si="4"/>
        <v>0</v>
      </c>
      <c r="P62" s="326"/>
      <c r="Q62" s="257">
        <f>IF(OR(OverCAP="No",A62=""),0,(J62*(Annual_Salary/12))-(J62*(VLOOKUP(A62,SalaryLimits,2,FALSE)/12)))</f>
        <v>0</v>
      </c>
      <c r="R62" s="438"/>
      <c r="S62" s="258">
        <f>IF(OR(OverCAP="No",A62=""),0,(L62*(Annual_Salary/12))-(L62*(VLOOKUP(A62,SalaryLimits,2,FALSE)/12)))</f>
        <v>0</v>
      </c>
      <c r="T62" s="258">
        <f>IF(OR(OverCAP="No",A62=""),0,(M62*(Annual_Salary/12))-(M62*(VLOOKUP(A62,SalaryLimits,2,FALSE)/12)))</f>
        <v>0</v>
      </c>
      <c r="U62" s="258">
        <f>IF(OR(OverCAP="No",A62=""),0,(N62*(Annual_Salary/12))-(N62*(VLOOKUP(A62,SalaryLimits,2,FALSE)/12)))</f>
        <v>0</v>
      </c>
      <c r="V62" s="327">
        <f t="shared" si="10"/>
        <v>0</v>
      </c>
      <c r="W62" s="328"/>
      <c r="X62" s="329"/>
      <c r="Y62" s="435"/>
      <c r="AA62" s="439"/>
      <c r="AB62" s="413"/>
      <c r="AC62" s="439"/>
      <c r="AD62" s="413"/>
    </row>
    <row r="63" spans="1:32" ht="16.5" customHeight="1" hidden="1">
      <c r="A63" s="497"/>
      <c r="B63" s="498"/>
      <c r="C63" s="499"/>
      <c r="D63" s="499"/>
      <c r="E63" s="444"/>
      <c r="F63" s="500"/>
      <c r="G63" s="501"/>
      <c r="H63" s="440">
        <f t="shared" si="14"/>
        <v>0</v>
      </c>
      <c r="I63" s="324">
        <f t="shared" si="15"/>
        <v>0</v>
      </c>
      <c r="J63" s="436">
        <f t="shared" si="16"/>
        <v>0</v>
      </c>
      <c r="K63" s="436"/>
      <c r="L63" s="441">
        <f t="shared" si="17"/>
        <v>0</v>
      </c>
      <c r="M63" s="441">
        <f t="shared" si="18"/>
        <v>0</v>
      </c>
      <c r="N63" s="442">
        <f t="shared" si="19"/>
        <v>0</v>
      </c>
      <c r="O63" s="437">
        <f t="shared" si="4"/>
        <v>0</v>
      </c>
      <c r="P63" s="326"/>
      <c r="Q63" s="257">
        <f>IF(OR(OverCAP="No",A63=""),0,(J63*(Annual_Salary/12))-(J63*(VLOOKUP(A63,SalaryLimits,2,FALSE)/12)))</f>
        <v>0</v>
      </c>
      <c r="R63" s="438"/>
      <c r="S63" s="258">
        <f>IF(OR(OverCAP="No",A63=""),0,(L63*(Annual_Salary/12))-(L63*(VLOOKUP(A63,SalaryLimits,2,FALSE)/12)))</f>
        <v>0</v>
      </c>
      <c r="T63" s="258">
        <f>IF(OR(OverCAP="No",A63=""),0,(M63*(Annual_Salary/12))-(M63*(VLOOKUP(A63,SalaryLimits,2,FALSE)/12)))</f>
        <v>0</v>
      </c>
      <c r="U63" s="258">
        <f>IF(OR(OverCAP="No",A63=""),0,(N63*(Annual_Salary/12))-(N63*(VLOOKUP(A63,SalaryLimits,2,FALSE)/12)))</f>
        <v>0</v>
      </c>
      <c r="V63" s="327">
        <f t="shared" si="10"/>
        <v>0</v>
      </c>
      <c r="W63" s="328"/>
      <c r="X63" s="329"/>
      <c r="Y63" s="435"/>
      <c r="AA63" s="439"/>
      <c r="AB63" s="413"/>
      <c r="AC63" s="439"/>
      <c r="AD63" s="413"/>
      <c r="AF63" s="443"/>
    </row>
    <row r="64" spans="1:32" ht="16.5" customHeight="1" hidden="1">
      <c r="A64" s="497"/>
      <c r="B64" s="498"/>
      <c r="C64" s="499"/>
      <c r="D64" s="499"/>
      <c r="E64" s="444"/>
      <c r="F64" s="500"/>
      <c r="G64" s="501"/>
      <c r="H64" s="440">
        <f t="shared" si="14"/>
        <v>0</v>
      </c>
      <c r="I64" s="324">
        <f t="shared" si="15"/>
        <v>0</v>
      </c>
      <c r="J64" s="436">
        <f t="shared" si="16"/>
        <v>0</v>
      </c>
      <c r="K64" s="436"/>
      <c r="L64" s="441">
        <f t="shared" si="17"/>
        <v>0</v>
      </c>
      <c r="M64" s="441">
        <f t="shared" si="18"/>
        <v>0</v>
      </c>
      <c r="N64" s="442">
        <f t="shared" si="19"/>
        <v>0</v>
      </c>
      <c r="O64" s="437">
        <f t="shared" si="4"/>
        <v>0</v>
      </c>
      <c r="P64" s="326"/>
      <c r="Q64" s="257">
        <f>IF(OR(OverCAP="No",A64=""),0,(J64*(Annual_Salary/12))-(J64*(VLOOKUP(A64,SalaryLimits,2,FALSE)/12)))</f>
        <v>0</v>
      </c>
      <c r="R64" s="438"/>
      <c r="S64" s="258">
        <f>IF(OR(OverCAP="No",A64=""),0,(L64*(Annual_Salary/12))-(L64*(VLOOKUP(A64,SalaryLimits,2,FALSE)/12)))</f>
        <v>0</v>
      </c>
      <c r="T64" s="258">
        <f>IF(OR(OverCAP="No",A64=""),0,(M64*(Annual_Salary/12))-(M64*(VLOOKUP(A64,SalaryLimits,2,FALSE)/12)))</f>
        <v>0</v>
      </c>
      <c r="U64" s="258">
        <f>IF(OR(OverCAP="No",A64=""),0,(N64*(Annual_Salary/12))-(N64*(VLOOKUP(A64,SalaryLimits,2,FALSE)/12)))</f>
        <v>0</v>
      </c>
      <c r="V64" s="327">
        <f t="shared" si="10"/>
        <v>0</v>
      </c>
      <c r="W64" s="328"/>
      <c r="X64" s="329"/>
      <c r="Y64" s="435"/>
      <c r="AA64" s="439"/>
      <c r="AB64" s="413"/>
      <c r="AC64" s="439"/>
      <c r="AD64" s="413"/>
      <c r="AF64" s="443"/>
    </row>
    <row r="65" spans="1:30" ht="16.5" customHeight="1" hidden="1">
      <c r="A65" s="497"/>
      <c r="B65" s="498"/>
      <c r="C65" s="499"/>
      <c r="D65" s="499"/>
      <c r="E65" s="444"/>
      <c r="F65" s="500"/>
      <c r="G65" s="496"/>
      <c r="H65" s="440">
        <f t="shared" si="14"/>
        <v>0</v>
      </c>
      <c r="I65" s="324">
        <f t="shared" si="15"/>
        <v>0</v>
      </c>
      <c r="J65" s="436"/>
      <c r="K65" s="436"/>
      <c r="L65" s="436"/>
      <c r="M65" s="436"/>
      <c r="N65" s="436"/>
      <c r="O65" s="436"/>
      <c r="P65" s="326"/>
      <c r="Q65" s="257">
        <f>IF(OR(OverCAP="No",A65=""),0,(J65*(Annual_Salary/12))-(J65*(VLOOKUP(A65,SalaryLimits,2,FALSE)/12)))</f>
        <v>0</v>
      </c>
      <c r="R65" s="438"/>
      <c r="S65" s="258">
        <f>IF(OR(OverCAP="No",A65=""),0,(L65*(Annual_Salary/12))-(L65*(VLOOKUP(A65,SalaryLimits,2,FALSE)/12)))</f>
        <v>0</v>
      </c>
      <c r="T65" s="258">
        <f>IF(OR(OverCAP="No",A65=""),0,(M65*(Annual_Salary/12))-(M65*(VLOOKUP(A65,SalaryLimits,2,FALSE)/12)))</f>
        <v>0</v>
      </c>
      <c r="U65" s="258">
        <f>IF(OR(OverCAP="No",A65=""),0,(N65*(Annual_Salary/12))-(N65*(VLOOKUP(A65,SalaryLimits,2,FALSE)/12)))</f>
        <v>0</v>
      </c>
      <c r="V65" s="445">
        <f t="shared" si="10"/>
        <v>0</v>
      </c>
      <c r="W65" s="328"/>
      <c r="X65" s="329"/>
      <c r="Y65" s="435"/>
      <c r="AA65" s="439"/>
      <c r="AB65" s="413"/>
      <c r="AC65" s="439"/>
      <c r="AD65" s="413"/>
    </row>
    <row r="66" spans="1:32" ht="13.5" thickBot="1">
      <c r="A66" s="446"/>
      <c r="B66" s="447" t="s">
        <v>6</v>
      </c>
      <c r="C66" s="448"/>
      <c r="D66" s="448"/>
      <c r="E66" s="449"/>
      <c r="F66" s="450"/>
      <c r="G66" s="451"/>
      <c r="H66" s="344">
        <f>SUM(H46:H64)</f>
        <v>0</v>
      </c>
      <c r="I66" s="452">
        <f>ROUND(SUM(I46:I65),4)</f>
        <v>0</v>
      </c>
      <c r="J66" s="346">
        <f aca="true" t="shared" si="20" ref="J66:O66">SUM(J46:J65)</f>
        <v>0</v>
      </c>
      <c r="K66" s="346">
        <f t="shared" si="20"/>
        <v>0</v>
      </c>
      <c r="L66" s="346">
        <f t="shared" si="20"/>
        <v>0</v>
      </c>
      <c r="M66" s="346">
        <f t="shared" si="20"/>
        <v>0</v>
      </c>
      <c r="N66" s="346">
        <f t="shared" si="20"/>
        <v>0</v>
      </c>
      <c r="O66" s="346">
        <f t="shared" si="20"/>
        <v>0</v>
      </c>
      <c r="P66" s="359"/>
      <c r="Q66" s="348">
        <f>ROUND(SUM(Q46:Q65),2)</f>
        <v>0</v>
      </c>
      <c r="R66" s="348">
        <f>ROUND(SUM(R46:R65),2)</f>
        <v>0</v>
      </c>
      <c r="S66" s="349">
        <f>ROUND(SUM(S46:S65),2)</f>
        <v>0</v>
      </c>
      <c r="T66" s="349">
        <f>ROUND(SUM(T46:T65),2)</f>
        <v>0</v>
      </c>
      <c r="U66" s="350">
        <f>ROUND(SUM(U46:U65),2)</f>
        <v>0</v>
      </c>
      <c r="V66" s="351">
        <f>SUM(V46:V65)</f>
        <v>0</v>
      </c>
      <c r="W66" s="356"/>
      <c r="X66" s="355"/>
      <c r="AA66" s="413"/>
      <c r="AB66" s="413"/>
      <c r="AC66" s="413"/>
      <c r="AD66" s="413"/>
      <c r="AF66" s="443"/>
    </row>
    <row r="67" spans="1:32" ht="78" customHeight="1">
      <c r="A67" s="353" t="s">
        <v>49</v>
      </c>
      <c r="B67" s="453" t="s">
        <v>48</v>
      </c>
      <c r="C67" s="354"/>
      <c r="D67" s="354"/>
      <c r="E67" s="354"/>
      <c r="F67" s="354"/>
      <c r="G67" s="354"/>
      <c r="H67" s="354"/>
      <c r="I67" s="354"/>
      <c r="J67" s="354"/>
      <c r="K67" s="354"/>
      <c r="L67" s="454" t="s">
        <v>49</v>
      </c>
      <c r="M67" s="354"/>
      <c r="N67" s="354"/>
      <c r="O67" s="354"/>
      <c r="P67" s="354"/>
      <c r="Q67" s="899" t="s">
        <v>176</v>
      </c>
      <c r="R67" s="899"/>
      <c r="S67" s="117"/>
      <c r="T67" s="355"/>
      <c r="U67" s="355"/>
      <c r="V67" s="355"/>
      <c r="W67" s="356"/>
      <c r="X67" s="355"/>
      <c r="AA67" s="413"/>
      <c r="AB67" s="413"/>
      <c r="AC67" s="413"/>
      <c r="AD67" s="413"/>
      <c r="AF67" s="443"/>
    </row>
    <row r="68" spans="1:32" ht="12.75">
      <c r="A68" s="357"/>
      <c r="B68" s="174"/>
      <c r="C68" s="181"/>
      <c r="D68" s="181"/>
      <c r="E68" s="199"/>
      <c r="F68" s="199"/>
      <c r="G68" s="199"/>
      <c r="H68" s="358"/>
      <c r="I68" s="359"/>
      <c r="J68" s="359"/>
      <c r="K68" s="359"/>
      <c r="L68" s="359"/>
      <c r="M68" s="359"/>
      <c r="N68" s="359"/>
      <c r="O68" s="359"/>
      <c r="P68" s="359"/>
      <c r="Q68" s="361"/>
      <c r="R68" s="361"/>
      <c r="S68" s="355"/>
      <c r="T68" s="362"/>
      <c r="U68" s="362"/>
      <c r="V68" s="355"/>
      <c r="W68" s="356"/>
      <c r="X68" s="355"/>
      <c r="AA68" s="413"/>
      <c r="AB68" s="413"/>
      <c r="AC68" s="413"/>
      <c r="AD68" s="413"/>
      <c r="AF68" s="443"/>
    </row>
    <row r="69" spans="1:32" ht="12.75">
      <c r="A69" s="366"/>
      <c r="B69" s="363"/>
      <c r="C69" s="363"/>
      <c r="D69" s="363"/>
      <c r="E69" s="363"/>
      <c r="F69" s="363"/>
      <c r="G69" s="363"/>
      <c r="H69" s="363"/>
      <c r="I69" s="363"/>
      <c r="J69" s="363"/>
      <c r="K69" s="363"/>
      <c r="L69" s="363"/>
      <c r="M69" s="363"/>
      <c r="N69" s="363"/>
      <c r="O69" s="363"/>
      <c r="P69" s="359"/>
      <c r="Q69" s="361" t="s">
        <v>57</v>
      </c>
      <c r="R69" s="361"/>
      <c r="S69" s="455"/>
      <c r="T69" s="502"/>
      <c r="U69" s="503"/>
      <c r="V69" s="503"/>
      <c r="W69" s="356"/>
      <c r="X69" s="355"/>
      <c r="AA69" s="413"/>
      <c r="AB69" s="413"/>
      <c r="AC69" s="413"/>
      <c r="AD69" s="413"/>
      <c r="AF69" s="443"/>
    </row>
    <row r="70" spans="1:32" ht="12.75">
      <c r="A70" s="363"/>
      <c r="B70" s="363"/>
      <c r="C70" s="363"/>
      <c r="D70" s="363"/>
      <c r="E70" s="363"/>
      <c r="F70" s="363"/>
      <c r="G70" s="363"/>
      <c r="H70" s="363"/>
      <c r="I70" s="363"/>
      <c r="J70" s="363"/>
      <c r="K70" s="363"/>
      <c r="L70" s="363"/>
      <c r="M70" s="363"/>
      <c r="N70" s="363"/>
      <c r="O70" s="363"/>
      <c r="P70" s="359"/>
      <c r="Q70" s="456"/>
      <c r="R70" s="367"/>
      <c r="S70" s="365"/>
      <c r="T70" s="365"/>
      <c r="U70" s="203"/>
      <c r="V70" s="203"/>
      <c r="W70" s="457"/>
      <c r="X70" s="355"/>
      <c r="AA70" s="413"/>
      <c r="AB70" s="413"/>
      <c r="AC70" s="413"/>
      <c r="AD70" s="413"/>
      <c r="AF70" s="443"/>
    </row>
    <row r="71" spans="1:32" ht="12.75">
      <c r="A71" s="363"/>
      <c r="B71" s="363"/>
      <c r="C71" s="363"/>
      <c r="D71" s="363"/>
      <c r="E71" s="363"/>
      <c r="F71" s="363"/>
      <c r="G71" s="363"/>
      <c r="H71" s="363"/>
      <c r="I71" s="363"/>
      <c r="J71" s="363"/>
      <c r="K71" s="363"/>
      <c r="L71" s="363"/>
      <c r="M71" s="363"/>
      <c r="N71" s="363"/>
      <c r="O71" s="363"/>
      <c r="P71" s="359"/>
      <c r="Q71" s="456" t="s">
        <v>56</v>
      </c>
      <c r="R71" s="456"/>
      <c r="S71" s="455"/>
      <c r="T71" s="504"/>
      <c r="U71" s="504"/>
      <c r="V71" s="504"/>
      <c r="W71" s="356"/>
      <c r="X71" s="355"/>
      <c r="AA71" s="413"/>
      <c r="AB71" s="413"/>
      <c r="AC71" s="413"/>
      <c r="AD71" s="413"/>
      <c r="AF71" s="443"/>
    </row>
    <row r="72" spans="1:30" ht="34.5" customHeight="1" thickBot="1">
      <c r="A72" s="214"/>
      <c r="B72" s="368"/>
      <c r="C72" s="368"/>
      <c r="D72" s="368"/>
      <c r="E72" s="368"/>
      <c r="F72" s="368"/>
      <c r="G72" s="368"/>
      <c r="H72" s="369"/>
      <c r="I72" s="370"/>
      <c r="J72" s="370"/>
      <c r="K72" s="370"/>
      <c r="L72" s="370"/>
      <c r="M72" s="370"/>
      <c r="N72" s="370"/>
      <c r="O72" s="370"/>
      <c r="P72" s="370"/>
      <c r="Q72" s="458"/>
      <c r="R72" s="371"/>
      <c r="S72" s="371"/>
      <c r="T72" s="891"/>
      <c r="U72" s="892"/>
      <c r="V72" s="892"/>
      <c r="W72" s="372"/>
      <c r="X72" s="355"/>
      <c r="AA72" s="413"/>
      <c r="AB72" s="413"/>
      <c r="AC72" s="413"/>
      <c r="AD72" s="413"/>
    </row>
    <row r="73" spans="1:48" s="175" customFormat="1" ht="13.5" hidden="1" thickTop="1">
      <c r="A73" s="191"/>
      <c r="B73" s="199"/>
      <c r="C73" s="199"/>
      <c r="D73" s="199"/>
      <c r="E73" s="199"/>
      <c r="F73" s="199"/>
      <c r="G73" s="199"/>
      <c r="H73" s="358"/>
      <c r="I73" s="359"/>
      <c r="J73" s="359"/>
      <c r="K73" s="359"/>
      <c r="L73" s="359"/>
      <c r="M73" s="359"/>
      <c r="N73" s="359"/>
      <c r="O73" s="359"/>
      <c r="P73" s="359"/>
      <c r="Q73" s="355"/>
      <c r="R73" s="355"/>
      <c r="S73" s="355"/>
      <c r="T73" s="355"/>
      <c r="U73" s="355"/>
      <c r="V73" s="355"/>
      <c r="W73" s="355"/>
      <c r="X73" s="355"/>
      <c r="Y73" s="174"/>
      <c r="Z73" s="174"/>
      <c r="AA73" s="241"/>
      <c r="AB73" s="241"/>
      <c r="AC73" s="241"/>
      <c r="AD73" s="241"/>
      <c r="AE73" s="174"/>
      <c r="AF73" s="174"/>
      <c r="AG73" s="174"/>
      <c r="AH73" s="174"/>
      <c r="AI73" s="174"/>
      <c r="AJ73" s="174"/>
      <c r="AK73" s="174"/>
      <c r="AL73" s="174"/>
      <c r="AM73" s="174"/>
      <c r="AN73" s="174"/>
      <c r="AO73" s="174"/>
      <c r="AP73" s="174"/>
      <c r="AQ73" s="174"/>
      <c r="AR73" s="174"/>
      <c r="AS73" s="174"/>
      <c r="AT73" s="174"/>
      <c r="AU73" s="174"/>
      <c r="AV73" s="174"/>
    </row>
    <row r="74" spans="1:30" ht="13.5" hidden="1" thickTop="1">
      <c r="A74" s="459"/>
      <c r="B74" s="395"/>
      <c r="C74" s="395"/>
      <c r="D74" s="395"/>
      <c r="E74" s="395"/>
      <c r="F74" s="395"/>
      <c r="G74" s="395"/>
      <c r="H74" s="460"/>
      <c r="I74" s="461"/>
      <c r="J74" s="461"/>
      <c r="K74" s="461"/>
      <c r="L74" s="461"/>
      <c r="M74" s="461"/>
      <c r="N74" s="461"/>
      <c r="O74" s="461"/>
      <c r="P74" s="461"/>
      <c r="Q74" s="462"/>
      <c r="R74" s="462"/>
      <c r="S74" s="462"/>
      <c r="T74" s="462"/>
      <c r="U74" s="462"/>
      <c r="V74" s="462"/>
      <c r="W74" s="462"/>
      <c r="X74" s="355"/>
      <c r="AA74" s="413"/>
      <c r="AB74" s="413"/>
      <c r="AC74" s="413"/>
      <c r="AD74" s="413"/>
    </row>
    <row r="75" spans="1:30" ht="13.5" hidden="1" thickTop="1">
      <c r="A75" s="459"/>
      <c r="B75" s="395"/>
      <c r="C75" s="395"/>
      <c r="D75" s="395"/>
      <c r="E75" s="395"/>
      <c r="F75" s="395"/>
      <c r="G75" s="395"/>
      <c r="H75" s="460"/>
      <c r="I75" s="461"/>
      <c r="J75" s="461"/>
      <c r="K75" s="461"/>
      <c r="L75" s="461"/>
      <c r="M75" s="461"/>
      <c r="N75" s="461"/>
      <c r="O75" s="461"/>
      <c r="P75" s="461"/>
      <c r="Q75" s="462">
        <v>1</v>
      </c>
      <c r="R75" s="462"/>
      <c r="S75" s="462"/>
      <c r="T75" s="462"/>
      <c r="U75" s="462"/>
      <c r="V75" s="462"/>
      <c r="W75" s="462"/>
      <c r="X75" s="355"/>
      <c r="AA75" s="413"/>
      <c r="AB75" s="413"/>
      <c r="AC75" s="413"/>
      <c r="AD75" s="413"/>
    </row>
    <row r="76" spans="1:30" ht="13.5" hidden="1" thickTop="1">
      <c r="A76" s="459"/>
      <c r="B76" s="395"/>
      <c r="C76" s="395"/>
      <c r="D76" s="395"/>
      <c r="E76" s="395">
        <v>1</v>
      </c>
      <c r="F76" s="395"/>
      <c r="G76" s="395"/>
      <c r="H76" s="460"/>
      <c r="I76" s="461"/>
      <c r="J76" s="461"/>
      <c r="K76" s="461"/>
      <c r="L76" s="461"/>
      <c r="M76" s="461"/>
      <c r="N76" s="461"/>
      <c r="O76" s="461"/>
      <c r="P76" s="461"/>
      <c r="Q76" s="462">
        <v>1</v>
      </c>
      <c r="R76" s="462"/>
      <c r="S76" s="462"/>
      <c r="T76" s="462"/>
      <c r="U76" s="462"/>
      <c r="V76" s="462"/>
      <c r="W76" s="462"/>
      <c r="X76" s="355"/>
      <c r="AA76" s="413"/>
      <c r="AB76" s="413"/>
      <c r="AC76" s="413"/>
      <c r="AD76" s="413"/>
    </row>
    <row r="77" spans="1:30" ht="13.5" hidden="1" thickTop="1">
      <c r="A77" s="459"/>
      <c r="B77" s="395"/>
      <c r="C77" s="395"/>
      <c r="D77" s="395"/>
      <c r="E77" s="395">
        <v>1</v>
      </c>
      <c r="F77" s="395"/>
      <c r="G77" s="395"/>
      <c r="H77" s="460"/>
      <c r="I77" s="461"/>
      <c r="J77" s="463">
        <v>3</v>
      </c>
      <c r="K77" s="463">
        <v>3</v>
      </c>
      <c r="L77" s="463">
        <v>3</v>
      </c>
      <c r="M77" s="463">
        <v>3</v>
      </c>
      <c r="N77" s="463">
        <v>3</v>
      </c>
      <c r="O77" s="461"/>
      <c r="P77" s="461"/>
      <c r="Q77" s="462"/>
      <c r="R77" s="462"/>
      <c r="S77" s="462"/>
      <c r="T77" s="462"/>
      <c r="U77" s="462"/>
      <c r="V77" s="462"/>
      <c r="W77" s="462"/>
      <c r="X77" s="355"/>
      <c r="AA77" s="413"/>
      <c r="AB77" s="413"/>
      <c r="AC77" s="413"/>
      <c r="AD77" s="413"/>
    </row>
    <row r="78" spans="1:30" ht="13.5" hidden="1" thickTop="1">
      <c r="A78" s="459"/>
      <c r="B78" s="395"/>
      <c r="C78" s="395"/>
      <c r="D78" s="395"/>
      <c r="E78" s="395">
        <v>1</v>
      </c>
      <c r="F78" s="395"/>
      <c r="G78" s="395"/>
      <c r="H78" s="460"/>
      <c r="I78" s="461"/>
      <c r="J78" s="463">
        <v>2</v>
      </c>
      <c r="K78" s="463">
        <v>2</v>
      </c>
      <c r="L78" s="463">
        <v>2</v>
      </c>
      <c r="M78" s="463">
        <v>2</v>
      </c>
      <c r="N78" s="463">
        <v>2</v>
      </c>
      <c r="O78" s="461"/>
      <c r="P78" s="461"/>
      <c r="Q78" s="462"/>
      <c r="R78" s="462"/>
      <c r="S78" s="462"/>
      <c r="T78" s="462"/>
      <c r="U78" s="462"/>
      <c r="V78" s="462"/>
      <c r="W78" s="462"/>
      <c r="X78" s="355"/>
      <c r="AA78" s="413"/>
      <c r="AB78" s="413"/>
      <c r="AC78" s="413"/>
      <c r="AD78" s="413"/>
    </row>
    <row r="79" spans="1:30" ht="13.5" hidden="1" thickTop="1">
      <c r="A79" s="459"/>
      <c r="B79" s="395"/>
      <c r="C79" s="395"/>
      <c r="D79" s="395"/>
      <c r="E79" s="395">
        <v>1</v>
      </c>
      <c r="F79" s="395"/>
      <c r="G79" s="395"/>
      <c r="H79" s="460"/>
      <c r="I79" s="461"/>
      <c r="J79" s="461"/>
      <c r="K79" s="461"/>
      <c r="L79" s="461"/>
      <c r="M79" s="461"/>
      <c r="N79" s="461"/>
      <c r="O79" s="461"/>
      <c r="P79" s="461"/>
      <c r="Q79" s="462"/>
      <c r="R79" s="462"/>
      <c r="S79" s="462"/>
      <c r="T79" s="462"/>
      <c r="U79" s="462"/>
      <c r="V79" s="462"/>
      <c r="W79" s="462"/>
      <c r="X79" s="355"/>
      <c r="AA79" s="413"/>
      <c r="AB79" s="413"/>
      <c r="AC79" s="413"/>
      <c r="AD79" s="413"/>
    </row>
    <row r="80" spans="1:30" ht="13.5" hidden="1" thickTop="1">
      <c r="A80" s="459"/>
      <c r="B80" s="395"/>
      <c r="C80" s="395"/>
      <c r="D80" s="395"/>
      <c r="E80" s="395">
        <v>1</v>
      </c>
      <c r="F80" s="395"/>
      <c r="G80" s="395"/>
      <c r="H80" s="460"/>
      <c r="I80" s="461"/>
      <c r="J80" s="461"/>
      <c r="K80" s="461"/>
      <c r="L80" s="461"/>
      <c r="M80" s="461"/>
      <c r="N80" s="461"/>
      <c r="O80" s="461"/>
      <c r="P80" s="461"/>
      <c r="Q80" s="462"/>
      <c r="R80" s="462"/>
      <c r="S80" s="462"/>
      <c r="T80" s="462"/>
      <c r="U80" s="462"/>
      <c r="V80" s="462"/>
      <c r="W80" s="462"/>
      <c r="X80" s="355"/>
      <c r="AA80" s="413"/>
      <c r="AB80" s="413"/>
      <c r="AC80" s="413"/>
      <c r="AD80" s="413"/>
    </row>
    <row r="81" spans="5:36" ht="13.5" hidden="1" thickTop="1">
      <c r="E81" s="382">
        <v>1</v>
      </c>
      <c r="G81" s="465"/>
      <c r="AI81" s="381">
        <v>0.27</v>
      </c>
      <c r="AJ81" s="381" t="s">
        <v>19</v>
      </c>
    </row>
    <row r="82" spans="2:35" ht="13.5" hidden="1" thickTop="1">
      <c r="B82" s="435"/>
      <c r="C82" s="459"/>
      <c r="D82" s="459"/>
      <c r="E82" s="466">
        <v>1</v>
      </c>
      <c r="F82" s="467"/>
      <c r="G82" s="467"/>
      <c r="H82" s="466"/>
      <c r="I82" s="466"/>
      <c r="O82" s="461"/>
      <c r="P82" s="461"/>
      <c r="Q82" s="468">
        <v>1</v>
      </c>
      <c r="R82" s="429" t="s">
        <v>4</v>
      </c>
      <c r="S82" s="429" t="s">
        <v>96</v>
      </c>
      <c r="T82" s="429" t="s">
        <v>7</v>
      </c>
      <c r="U82" s="466">
        <f>IF(Scale_Off="",0,(VLOOKUP(Scale_Off,hbx,2,FALSE)))</f>
        <v>0</v>
      </c>
      <c r="V82" s="429" t="s">
        <v>67</v>
      </c>
      <c r="W82" s="466" t="s">
        <v>2</v>
      </c>
      <c r="X82" s="359"/>
      <c r="Z82" s="469"/>
      <c r="AI82" s="413">
        <f>SUM(AI49:AI81)</f>
        <v>0.27</v>
      </c>
    </row>
    <row r="83" spans="2:30" ht="14.25" hidden="1" thickBot="1" thickTop="1">
      <c r="B83" s="435"/>
      <c r="C83" s="459" t="s">
        <v>139</v>
      </c>
      <c r="D83" s="459" t="s">
        <v>140</v>
      </c>
      <c r="E83" s="466">
        <v>1</v>
      </c>
      <c r="F83" s="467" t="s">
        <v>91</v>
      </c>
      <c r="G83" s="381">
        <f>IF(E84=4,G46,"")</f>
      </c>
      <c r="H83" s="466"/>
      <c r="I83" s="466"/>
      <c r="J83" s="470" t="s">
        <v>4</v>
      </c>
      <c r="K83" s="470" t="s">
        <v>96</v>
      </c>
      <c r="L83" s="471" t="s">
        <v>7</v>
      </c>
      <c r="M83" s="472">
        <f>IF(Scale_Off="",0,(VLOOKUP(Scale_Off,hbx,2,FALSE)))</f>
        <v>0</v>
      </c>
      <c r="N83" s="473" t="s">
        <v>67</v>
      </c>
      <c r="O83" s="468"/>
      <c r="P83" s="461">
        <f>SUM(O83:O83)</f>
        <v>0</v>
      </c>
      <c r="Q83" s="474">
        <v>1</v>
      </c>
      <c r="R83" s="475">
        <f>R36</f>
        <v>0</v>
      </c>
      <c r="S83" s="475">
        <f aca="true" t="shared" si="21" ref="S83:V84">S36</f>
        <v>0</v>
      </c>
      <c r="T83" s="475">
        <f t="shared" si="21"/>
        <v>0</v>
      </c>
      <c r="U83" s="475">
        <f t="shared" si="21"/>
        <v>0</v>
      </c>
      <c r="V83" s="475">
        <f t="shared" si="21"/>
        <v>0</v>
      </c>
      <c r="W83" s="475">
        <f>SUM(R83:V83)</f>
        <v>0</v>
      </c>
      <c r="X83" s="241"/>
      <c r="AA83" s="459"/>
      <c r="AB83" s="476"/>
      <c r="AC83" s="459"/>
      <c r="AD83" s="477"/>
    </row>
    <row r="84" spans="2:28" ht="13.5" hidden="1" thickTop="1">
      <c r="B84" s="435"/>
      <c r="C84" s="478">
        <f>fundtype1_off</f>
        <v>1</v>
      </c>
      <c r="D84" s="382">
        <f>acct1_off</f>
        <v>0</v>
      </c>
      <c r="E84" s="478">
        <v>1</v>
      </c>
      <c r="F84" s="381">
        <f>IF(E84=4,F46,"")</f>
      </c>
      <c r="G84" s="381">
        <f>IF(E84=4,G46,"")</f>
      </c>
      <c r="H84" s="443">
        <f aca="true" t="shared" si="22" ref="H84:H92">H46</f>
      </c>
      <c r="I84" s="381"/>
      <c r="J84" s="479">
        <f>IF(fundtype1_off=1,"",IF(fundtype1_off=2,SUMIF(month_source_off,2,R$83:R$84),IF(fundtype1_off=3,SUMIF(month_source_off,3,R$83:R$84),IF(fundtype1_off=4,$I46*J$41,""))))</f>
      </c>
      <c r="K84" s="479">
        <f>IF(fundtype1_off=1,"",IF(fundtype1_off=2,SUMIF(month_source_off,2,S$83:S$84),IF(fundtype1_off=3,SUMIF(month_source_off,3,S$83:S$84),IF(fundtype1_off=4,$I46*K$41,""))))</f>
      </c>
      <c r="L84" s="479">
        <f>IF(fundtype1_off=1,"",IF(fundtype1_off=2,SUMIF(month_source_off,2,T$83:T$84),IF(fundtype1_off=3,SUMIF(month_source_off,3,T$83:T$84),IF(fundtype1_off=4,$I46*L$41,""))))</f>
      </c>
      <c r="M84" s="479">
        <f>IF(fundtype1_off=1,"",IF(fundtype1_off=2,SUMIF(month_source_off,2,U$83:U$84),IF(fundtype1_off=3,SUMIF(month_source_off,3,U$83:U$84),IF(fundtype1_off=4,$I46*M$41,""))))</f>
      </c>
      <c r="N84" s="479">
        <f>IF(fundtype1_off=1,"",IF(fundtype1_off=2,SUMIF(month_source_off,2,V$83:V$84),IF(fundtype1_off=3,SUMIF(month_source_off,3,V$83:V$84),IF(fundtype1_off=4,$I46*N$41,""))))</f>
      </c>
      <c r="O84" s="412"/>
      <c r="P84" s="413">
        <f>SUM(L84:O84)</f>
        <v>0</v>
      </c>
      <c r="Q84" s="474">
        <v>1</v>
      </c>
      <c r="R84" s="475">
        <f>R37</f>
        <v>0</v>
      </c>
      <c r="S84" s="475">
        <f t="shared" si="21"/>
        <v>0</v>
      </c>
      <c r="T84" s="475">
        <f t="shared" si="21"/>
        <v>0</v>
      </c>
      <c r="U84" s="475">
        <f t="shared" si="21"/>
        <v>0</v>
      </c>
      <c r="V84" s="475">
        <f t="shared" si="21"/>
        <v>0</v>
      </c>
      <c r="W84" s="475">
        <f>SUM(R84:V84)</f>
        <v>0</v>
      </c>
      <c r="X84" s="241"/>
      <c r="Z84" s="480"/>
      <c r="AB84" s="480"/>
    </row>
    <row r="85" spans="2:30" ht="13.5" hidden="1" thickTop="1">
      <c r="B85" s="381"/>
      <c r="C85" s="478">
        <f>fundtype2_off</f>
        <v>1</v>
      </c>
      <c r="D85" s="382">
        <f>acct2_off</f>
        <v>0</v>
      </c>
      <c r="E85" s="478">
        <v>1</v>
      </c>
      <c r="F85" s="381">
        <f>IF(E85=4,F47,"")</f>
      </c>
      <c r="G85" s="381">
        <f>IF(E85=4,G47,"")</f>
      </c>
      <c r="H85" s="443">
        <f t="shared" si="22"/>
      </c>
      <c r="I85" s="459"/>
      <c r="J85" s="479">
        <f>IF(fundtype2_off=1,"",IF(fundtype2_off=2,SUMIF(month_source_off,2,R$83:R$84),IF(fundtype2_off=3,SUMIF(month_source_off,3,R$83:R$84),IF(fundtype2_off=4,$I47*J$41,""))))</f>
      </c>
      <c r="K85" s="479">
        <f>IF(fundtype2_off=1,"",IF(fundtype2_off=2,SUMIF(month_source_off,2,S$83:S$84),IF(fundtype2_off=3,SUMIF(month_source_off,3,S$83:S$84),IF(fundtype2_off=4,$I47*K$41,""))))</f>
      </c>
      <c r="L85" s="479">
        <f>IF(fundtype2_off=1,"",IF(fundtype2_off=2,SUMIF(month_source_off,2,T$83:T$84),IF(fundtype2_off=3,SUMIF(month_source_off,3,T$83:T$84),IF(fundtype2_off=4,$I47*L$41,""))))</f>
      </c>
      <c r="M85" s="479">
        <f>IF(fundtype2_off=1,"",IF(fundtype2_off=2,SUMIF(month_source_off,2,U$83:U$84),IF(fundtype2_off=3,SUMIF(month_source_off,3,U$83:U$84),IF(fundtype2_off=4,$I47*M$41,""))))</f>
      </c>
      <c r="N85" s="479">
        <f>IF(fundtype2_off=1,"",IF(fundtype2_off=2,SUMIF(month_source_off,2,V$83:V$84),IF(fundtype2_off=3,SUMIF(month_source_off,3,V$83:V$84),IF(fundtype2_off=4,$I47*N$41,""))))</f>
      </c>
      <c r="O85" s="412"/>
      <c r="P85" s="413">
        <f>SUM(L85:O85)</f>
        <v>0</v>
      </c>
      <c r="Q85" s="413" t="s">
        <v>5</v>
      </c>
      <c r="R85" s="443">
        <f aca="true" t="shared" si="23" ref="R85:W85">SUM(R83:R84)</f>
        <v>0</v>
      </c>
      <c r="S85" s="443">
        <f t="shared" si="23"/>
        <v>0</v>
      </c>
      <c r="T85" s="443">
        <f t="shared" si="23"/>
        <v>0</v>
      </c>
      <c r="U85" s="443">
        <f t="shared" si="23"/>
        <v>0</v>
      </c>
      <c r="V85" s="443">
        <f t="shared" si="23"/>
        <v>0</v>
      </c>
      <c r="W85" s="443">
        <f t="shared" si="23"/>
        <v>0</v>
      </c>
      <c r="X85" s="241"/>
      <c r="Z85" s="430"/>
      <c r="AA85" s="430"/>
      <c r="AB85" s="430"/>
      <c r="AC85" s="430"/>
      <c r="AD85" s="430"/>
    </row>
    <row r="86" spans="2:30" ht="13.5" hidden="1" thickTop="1">
      <c r="B86" s="381"/>
      <c r="C86" s="478">
        <f>fundtype3_off</f>
        <v>1</v>
      </c>
      <c r="D86" s="382">
        <f>acct3_off</f>
        <v>0</v>
      </c>
      <c r="E86" s="478">
        <v>1</v>
      </c>
      <c r="F86" s="381">
        <f aca="true" t="shared" si="24" ref="F86:F92">IF(E86=4,F48,"")</f>
      </c>
      <c r="G86" s="381">
        <f aca="true" t="shared" si="25" ref="G86:G92">IF(E86=4,G48,"")</f>
      </c>
      <c r="H86" s="443">
        <f t="shared" si="22"/>
      </c>
      <c r="I86" s="381"/>
      <c r="J86" s="479">
        <f>IF(fundtype3_off=1,"",IF(fundtype3_off=2,SUMIF(month_source_off,2,R$83:R$84),IF(fundtype3_off=3,SUMIF(month_source_off,3,R$83:R$84),IF(fundtype3_off=4,$I48*J$41,""))))</f>
      </c>
      <c r="K86" s="479">
        <f>IF(fundtype3_off=1,"",IF(fundtype3_off=2,SUMIF(month_source_off,2,S$83:S$84),IF(fundtype3_off=3,SUMIF(month_source_off,3,S$83:S$84),IF(fundtype3_off=4,$I48*K$41,""))))</f>
      </c>
      <c r="L86" s="479">
        <f>IF(fundtype3_off=1,"",IF(fundtype3_off=2,SUMIF(month_source_off,2,T$83:T$84),IF(fundtype3_off=3,SUMIF(month_source_off,3,T$83:T$84),IF(fundtype3_off=4,$I48*L$41,""))))</f>
      </c>
      <c r="M86" s="479">
        <f>IF(fundtype3_off=1,"",IF(fundtype3_off=2,SUMIF(month_source_off,2,U$83:U$84),IF(fundtype3_off=3,SUMIF(month_source_off,3,U$83:U$84),IF(fundtype3_off=4,$I48*M$41,""))))</f>
      </c>
      <c r="N86" s="479">
        <f>IF(fundtype3_off=1,"",IF(fundtype3_off=2,SUMIF(month_source_off,2,V$83:V$84),IF(fundtype3_off=3,SUMIF(month_source_off,3,V$83:V$84),IF(fundtype3_off=4,$I48*N$41,""))))</f>
      </c>
      <c r="O86" s="412"/>
      <c r="P86" s="413">
        <f>SUM(L86:O86)</f>
        <v>0</v>
      </c>
      <c r="Q86" s="413" t="s">
        <v>101</v>
      </c>
      <c r="R86" s="413">
        <f>IF(ISERROR(R83/$W83),0,R83/$W83)</f>
        <v>0</v>
      </c>
      <c r="S86" s="413">
        <f>IF(ISERROR(S83/$W83),0,S83/$W83)</f>
        <v>0</v>
      </c>
      <c r="T86" s="413">
        <f aca="true" t="shared" si="26" ref="R86:V87">IF(ISERROR(T83/$W83),0,T83/$W83)</f>
        <v>0</v>
      </c>
      <c r="U86" s="413">
        <f t="shared" si="26"/>
        <v>0</v>
      </c>
      <c r="V86" s="413">
        <f t="shared" si="26"/>
        <v>0</v>
      </c>
      <c r="W86" s="413"/>
      <c r="X86" s="241"/>
      <c r="Z86" s="459"/>
      <c r="AA86" s="459"/>
      <c r="AB86" s="459"/>
      <c r="AC86" s="430"/>
      <c r="AD86" s="459"/>
    </row>
    <row r="87" spans="2:30" ht="13.5" hidden="1" thickTop="1">
      <c r="B87" s="381"/>
      <c r="C87" s="478">
        <f>fundtype4_off</f>
        <v>1</v>
      </c>
      <c r="D87" s="382">
        <f>acct4_off</f>
        <v>0</v>
      </c>
      <c r="E87" s="478">
        <v>1</v>
      </c>
      <c r="F87" s="381">
        <f t="shared" si="24"/>
      </c>
      <c r="G87" s="381">
        <f t="shared" si="25"/>
      </c>
      <c r="H87" s="443">
        <f t="shared" si="22"/>
      </c>
      <c r="I87" s="381"/>
      <c r="J87" s="479">
        <f>IF(fundtype4_off=1,"",IF(fundtype4_off=2,SUMIF(month_source_off,2,R$83:R$84),IF(fundtype4_off=3,SUMIF(month_source_off,3,R$83:R$84),IF(fundtype4_off=4,$I49*J$41,""))))</f>
      </c>
      <c r="K87" s="479">
        <f>IF(fundtype4_off=1,"",IF(fundtype4_off=2,SUMIF(month_source_off,2,S$83:S$84),IF(fundtype4_off=3,SUMIF(month_source_off,3,S$83:S$84),IF(fundtype4_off=4,$I49*K$41,""))))</f>
      </c>
      <c r="L87" s="479">
        <f>IF(fundtype4_off=1,"",IF(fundtype4_off=2,SUMIF(month_source_off,2,T$83:T$84),IF(fundtype4_off=3,SUMIF(month_source_off,3,T$83:T$84),IF(fundtype4_off=4,$I49*L$41,""))))</f>
      </c>
      <c r="M87" s="479">
        <f>IF(fundtype4_off=1,"",IF(fundtype4_off=2,SUMIF(month_source_off,2,U$83:U$84),IF(fundtype4_off=3,SUMIF(month_source_off,3,U$83:U$84),IF(fundtype4_off=4,$I49*M$41,""))))</f>
      </c>
      <c r="N87" s="479">
        <f>IF(fundtype4_off=1,"",IF(fundtype4_off=2,SUMIF(month_source_off,2,V$83:V$84),IF(fundtype4_off=3,SUMIF(month_source_off,3,V$83:V$84),IF(fundtype4_off=4,$I49*N$41,""))))</f>
      </c>
      <c r="O87" s="412"/>
      <c r="P87" s="413">
        <f>SUM(L87:O87)</f>
        <v>0</v>
      </c>
      <c r="Q87" s="413" t="s">
        <v>102</v>
      </c>
      <c r="R87" s="413">
        <f t="shared" si="26"/>
        <v>0</v>
      </c>
      <c r="S87" s="413">
        <f t="shared" si="26"/>
        <v>0</v>
      </c>
      <c r="T87" s="413">
        <f t="shared" si="26"/>
        <v>0</v>
      </c>
      <c r="U87" s="413">
        <f t="shared" si="26"/>
        <v>0</v>
      </c>
      <c r="V87" s="413">
        <f t="shared" si="26"/>
        <v>0</v>
      </c>
      <c r="W87" s="413"/>
      <c r="X87" s="241"/>
      <c r="Z87" s="459"/>
      <c r="AA87" s="481"/>
      <c r="AB87" s="459"/>
      <c r="AC87" s="412"/>
      <c r="AD87" s="443"/>
    </row>
    <row r="88" spans="2:30" ht="13.5" hidden="1" thickTop="1">
      <c r="B88" s="381"/>
      <c r="C88" s="478">
        <f>fundtype5_off</f>
        <v>1</v>
      </c>
      <c r="D88" s="382">
        <f>acct5_off</f>
        <v>0</v>
      </c>
      <c r="E88" s="478">
        <v>1</v>
      </c>
      <c r="F88" s="381">
        <f t="shared" si="24"/>
      </c>
      <c r="G88" s="381">
        <f t="shared" si="25"/>
      </c>
      <c r="H88" s="443">
        <f t="shared" si="22"/>
      </c>
      <c r="I88" s="381"/>
      <c r="J88" s="479">
        <f>IF(fundtype5_off=1,"",IF(fundtype5_off=2,SUMIF(month_source_off,2,R$83:R$84),IF(fundtype5_off=3,SUMIF(month_source_off,3,R$83:R$84),IF(fundtype5_off=4,$I50*J$41,""))))</f>
      </c>
      <c r="K88" s="479">
        <f>IF(fundtype5_off=1,"",IF(fundtype5_off=2,SUMIF(month_source_off,2,S$83:S$84),IF(fundtype5_off=3,SUMIF(month_source_off,3,S$83:S$84),IF(fundtype5_off=4,$I50*K$41,""))))</f>
      </c>
      <c r="L88" s="479">
        <f>IF(fundtype5_off=1,"",IF(fundtype5_off=2,SUMIF(month_source_off,2,T$83:T$84),IF(fundtype5_off=3,SUMIF(month_source_off,3,T$83:T$84),IF(fundtype5_off=4,$I50*L$41,""))))</f>
      </c>
      <c r="M88" s="479">
        <f>IF(fundtype5_off=1,"",IF(fundtype5_off=2,SUMIF(month_source_off,2,U$83:U$84),IF(fundtype5_off=3,SUMIF(month_source_off,3,U$83:U$84),IF(fundtype5_off=4,$I50*M$41,""))))</f>
      </c>
      <c r="N88" s="479">
        <f>IF(fundtype5_off=1,"",IF(fundtype5_off=2,SUMIF(month_source_off,2,V$83:V$84),IF(fundtype5_off=3,SUMIF(month_source_off,3,V$83:V$84),IF(fundtype5_off=4,$I50*N$41,""))))</f>
      </c>
      <c r="O88" s="412"/>
      <c r="P88" s="413" t="e">
        <f>SUM(#REF!)</f>
        <v>#REF!</v>
      </c>
      <c r="Q88" s="413"/>
      <c r="R88" s="413"/>
      <c r="S88" s="413"/>
      <c r="T88" s="413"/>
      <c r="U88" s="413"/>
      <c r="V88" s="413"/>
      <c r="W88" s="413"/>
      <c r="X88" s="241"/>
      <c r="Z88" s="459"/>
      <c r="AA88" s="481"/>
      <c r="AB88" s="459"/>
      <c r="AC88" s="412"/>
      <c r="AD88" s="443"/>
    </row>
    <row r="89" spans="2:30" ht="13.5" hidden="1" thickTop="1">
      <c r="B89" s="381"/>
      <c r="C89" s="478">
        <f>fundtype6_off</f>
        <v>1</v>
      </c>
      <c r="D89" s="382">
        <f>acct6_off</f>
        <v>0</v>
      </c>
      <c r="E89" s="478">
        <v>1</v>
      </c>
      <c r="F89" s="381">
        <f t="shared" si="24"/>
      </c>
      <c r="G89" s="381">
        <f t="shared" si="25"/>
      </c>
      <c r="H89" s="443">
        <f t="shared" si="22"/>
      </c>
      <c r="I89" s="381"/>
      <c r="J89" s="479">
        <f>IF(fundtype6_off=1,"",IF(fundtype6_off=2,SUMIF(month_source_off,2,R$83:R$84),IF(fundtype6_off=3,SUMIF(month_source_off,3,R$83:R$84),IF(fundtype6_off=4,$I51*J$41,""))))</f>
      </c>
      <c r="K89" s="479">
        <f>IF(fundtype6_off=1,"",IF(fundtype6_off=2,SUMIF(month_source_off,2,S$83:S$84),IF(fundtype6_off=3,SUMIF(month_source_off,3,S$83:S$84),IF(fundtype6_off=4,$I51*K$41,""))))</f>
      </c>
      <c r="L89" s="479">
        <f>IF(fundtype6_off=1,"",IF(fundtype6_off=2,SUMIF(month_source_off,2,T$83:T$84),IF(fundtype6_off=3,SUMIF(month_source_off,3,T$83:T$84),IF(fundtype6_off=4,$I51*L$41,""))))</f>
      </c>
      <c r="M89" s="479">
        <f>IF(fundtype6_off=1,"",IF(fundtype6_off=2,SUMIF(month_source_off,2,U$83:U$84),IF(fundtype6_off=3,SUMIF(month_source_off,3,U$83:U$84),IF(fundtype6_off=4,$I51*M$41,""))))</f>
      </c>
      <c r="N89" s="479">
        <f>IF(fundtype6_off=1,"",IF(fundtype6_off=2,SUMIF(month_source_off,2,V$83:V$84),IF(fundtype6_off=3,SUMIF(month_source_off,3,V$83:V$84),IF(fundtype6_off=4,$I51*N$41,""))))</f>
      </c>
      <c r="O89" s="412"/>
      <c r="P89" s="413">
        <f aca="true" t="shared" si="27" ref="P89:P103">SUM(L88:O88)</f>
        <v>0</v>
      </c>
      <c r="Q89" s="413"/>
      <c r="R89" s="413"/>
      <c r="S89" s="413"/>
      <c r="T89" s="413"/>
      <c r="U89" s="413"/>
      <c r="V89" s="413"/>
      <c r="W89" s="413"/>
      <c r="X89" s="241"/>
      <c r="Z89" s="459"/>
      <c r="AA89" s="481"/>
      <c r="AB89" s="459"/>
      <c r="AC89" s="412"/>
      <c r="AD89" s="443"/>
    </row>
    <row r="90" spans="2:30" ht="13.5" hidden="1" thickTop="1">
      <c r="B90" s="381"/>
      <c r="C90" s="478">
        <f>fundtype7_off</f>
        <v>1</v>
      </c>
      <c r="D90" s="382">
        <f>acct7_off</f>
        <v>0</v>
      </c>
      <c r="E90" s="478">
        <v>1</v>
      </c>
      <c r="F90" s="381">
        <f t="shared" si="24"/>
      </c>
      <c r="G90" s="381">
        <f t="shared" si="25"/>
      </c>
      <c r="H90" s="443">
        <f t="shared" si="22"/>
      </c>
      <c r="I90" s="381"/>
      <c r="J90" s="479">
        <f>IF(fundtype7_off=1,"",IF(fundtype7_off=2,SUMIF(month_source_off,2,R$83:R$84),IF(fundtype7_off=3,SUMIF(month_source_off,3,R$83:R$84),IF(fundtype7_off=4,$I52*J$41,""))))</f>
      </c>
      <c r="K90" s="479">
        <f>IF(fundtype7_off=1,"",IF(fundtype7_off=2,SUMIF(month_source_off,2,S$83:S$84),IF(fundtype7_off=3,SUMIF(month_source_off,3,S$83:S$84),IF(fundtype7_off=4,$I52*K$41,""))))</f>
      </c>
      <c r="L90" s="479">
        <f>IF(fundtype7_off=1,"",IF(fundtype7_off=2,SUMIF(month_source_off,2,T$83:T$84),IF(fundtype7_off=3,SUMIF(month_source_off,3,T$83:T$84),IF(fundtype7_off=4,$I52*L$41,""))))</f>
      </c>
      <c r="M90" s="479">
        <f>IF(fundtype7_off=1,"",IF(fundtype7_off=2,SUMIF(month_source_off,2,U$83:U$84),IF(fundtype7_off=3,SUMIF(month_source_off,3,U$83:U$84),IF(fundtype7_off=4,$I52*M$41,""))))</f>
      </c>
      <c r="N90" s="479">
        <f>IF(fundtype7_off=1,"",IF(fundtype7_off=2,SUMIF(month_source_off,2,V$83:V$84),IF(fundtype7_off=3,SUMIF(month_source_off,3,V$83:V$84),IF(fundtype7_off=4,$I52*N$41,""))))</f>
      </c>
      <c r="O90" s="412"/>
      <c r="P90" s="413">
        <f t="shared" si="27"/>
        <v>0</v>
      </c>
      <c r="Q90" s="413">
        <v>1</v>
      </c>
      <c r="R90" s="413"/>
      <c r="S90" s="413"/>
      <c r="T90" s="413"/>
      <c r="U90" s="413"/>
      <c r="V90" s="413"/>
      <c r="W90" s="413"/>
      <c r="X90" s="241"/>
      <c r="Z90" s="459"/>
      <c r="AA90" s="481"/>
      <c r="AB90" s="459"/>
      <c r="AC90" s="412"/>
      <c r="AD90" s="443"/>
    </row>
    <row r="91" spans="2:30" ht="14.25" hidden="1" thickBot="1" thickTop="1">
      <c r="B91" s="381"/>
      <c r="C91" s="478">
        <f>fundtype8_off</f>
        <v>1</v>
      </c>
      <c r="D91" s="382">
        <f>acct8_off</f>
        <v>0</v>
      </c>
      <c r="E91" s="478">
        <v>1</v>
      </c>
      <c r="F91" s="381">
        <f t="shared" si="24"/>
      </c>
      <c r="G91" s="381">
        <f t="shared" si="25"/>
      </c>
      <c r="H91" s="443">
        <f t="shared" si="22"/>
      </c>
      <c r="I91" s="381"/>
      <c r="J91" s="479">
        <f>IF(fundtype8_off=1,"",IF(fundtype8_off=2,SUMIF(month_source_off,2,R$83:R$84),IF(fundtype8_off=3,SUMIF(month_source_off,3,R$83:R$84),IF(fundtype8_off=4,$I53*J$41,""))))</f>
      </c>
      <c r="K91" s="479">
        <f>IF(fundtype8_off=1,"",IF(fundtype8_off=2,SUMIF(month_source_off,2,S$83:S$84),IF(fundtype8_off=3,SUMIF(month_source_off,3,S$83:S$84),IF(fundtype8_off=4,$I53*K$41,""))))</f>
      </c>
      <c r="L91" s="479">
        <f>IF(fundtype8_off=1,"",IF(fundtype8_off=2,SUMIF(month_source_off,2,T$83:T$84),IF(fundtype8_off=3,SUMIF(month_source_off,3,T$83:T$84),IF(fundtype8_off=4,$I53*L$41,""))))</f>
      </c>
      <c r="M91" s="479">
        <f>IF(fundtype8_off=1,"",IF(fundtype8_off=2,SUMIF(month_source_off,2,U$83:U$84),IF(fundtype8_off=3,SUMIF(month_source_off,3,U$83:U$84),IF(fundtype8_off=4,$I53*M$41,""))))</f>
      </c>
      <c r="N91" s="479">
        <f>IF(fundtype8_off=1,"",IF(fundtype8_off=2,SUMIF(month_source_off,2,V$83:V$84),IF(fundtype8_off=3,SUMIF(month_source_off,3,V$83:V$84),IF(fundtype8_off=4,$I53*N$41,""))))</f>
      </c>
      <c r="O91" s="412"/>
      <c r="P91" s="413">
        <f t="shared" si="27"/>
        <v>0</v>
      </c>
      <c r="Q91" s="583">
        <v>1</v>
      </c>
      <c r="R91" s="581" t="s">
        <v>179</v>
      </c>
      <c r="S91" s="413"/>
      <c r="T91" s="413"/>
      <c r="U91" s="413"/>
      <c r="V91" s="413"/>
      <c r="W91" s="413"/>
      <c r="X91" s="241"/>
      <c r="Z91" s="459"/>
      <c r="AA91" s="481"/>
      <c r="AB91" s="459"/>
      <c r="AC91" s="412"/>
      <c r="AD91" s="443"/>
    </row>
    <row r="92" spans="2:30" ht="13.5" hidden="1" thickTop="1">
      <c r="B92" s="381"/>
      <c r="C92" s="478">
        <f>fundtype9_off</f>
        <v>1</v>
      </c>
      <c r="D92" s="382">
        <f>acct9_off</f>
        <v>0</v>
      </c>
      <c r="E92" s="478">
        <v>1</v>
      </c>
      <c r="F92" s="381">
        <f t="shared" si="24"/>
      </c>
      <c r="G92" s="381">
        <f t="shared" si="25"/>
      </c>
      <c r="H92" s="443">
        <f t="shared" si="22"/>
      </c>
      <c r="I92" s="381"/>
      <c r="J92" s="479">
        <f>IF(fundtype9_off=1,"",IF(fundtype9_off=2,SUMIF($S$83:$S$84,2,R$83:R$84),IF(fundtype9_off=3,SUMIF($S$83:$S$84,3,R$83:R$84),IF(fundtype9_off=4,$I54*J$41,""))))</f>
      </c>
      <c r="K92" s="479">
        <f>IF(fundtype9_off=1,"",IF(fundtype9_off=2,SUMIF($S$83:$S$84,2,S$83:S$84),IF(fundtype9_off=3,SUMIF($S$83:$S$84,3,S$83:S$84),IF(fundtype9_off=4,$I54*K$41,""))))</f>
      </c>
      <c r="L92" s="479">
        <f>IF(fundtype9_off=1,"",IF(fundtype9_off=2,SUMIF($S$83:$S$84,2,T$83:T$84),IF(fundtype9_off=3,SUMIF($S$83:$S$84,3,T$83:T$84),IF(fundtype9_off=4,$I54*L$41,""))))</f>
      </c>
      <c r="M92" s="479">
        <f>IF(fundtype9_off=1,"",IF(fundtype9_off=2,SUMIF($S$83:$S$84,2,U$83:U$84),IF(fundtype9_off=3,SUMIF($S$83:$S$84,3,U$83:U$84),IF(fundtype9_off=4,$I54*M$41,""))))</f>
      </c>
      <c r="N92" s="479">
        <f>IF(fundtype9_off=1,"",IF(fundtype9_off=2,SUMIF($S$83:$S$84,2,V$83:V$84),IF(fundtype9_off=3,SUMIF($S$83:$S$84,3,V$83:V$84),IF(fundtype9_off=4,$I54*N$41,""))))</f>
      </c>
      <c r="O92" s="412"/>
      <c r="P92" s="413">
        <f t="shared" si="27"/>
        <v>0</v>
      </c>
      <c r="Q92" s="413"/>
      <c r="R92" s="413"/>
      <c r="S92" s="413"/>
      <c r="T92" s="413"/>
      <c r="U92" s="413"/>
      <c r="V92" s="413"/>
      <c r="W92" s="413"/>
      <c r="X92" s="241"/>
      <c r="Z92" s="459"/>
      <c r="AA92" s="481"/>
      <c r="AB92" s="459"/>
      <c r="AC92" s="412"/>
      <c r="AD92" s="443"/>
    </row>
    <row r="93" spans="2:30" ht="13.5" hidden="1" thickTop="1">
      <c r="B93" s="381"/>
      <c r="C93" s="381"/>
      <c r="D93" s="381"/>
      <c r="E93" s="478"/>
      <c r="F93" s="381"/>
      <c r="G93" s="381">
        <f>IF(E94=4,G56,"")</f>
      </c>
      <c r="H93" s="381"/>
      <c r="I93" s="381"/>
      <c r="J93" s="381"/>
      <c r="K93" s="381"/>
      <c r="L93" s="413">
        <f>IF(ISERROR(#REF!-L47-L48-L49-L50-L51-L52-L53-L54-L55-L56-L57),0,#REF!-L47-L48-L49-L50-L51-L52-L53-L54-L55-L56-L57)</f>
        <v>0</v>
      </c>
      <c r="M93" s="413">
        <f>IF(ISERROR(#REF!-M47-M48-M49-M50-M51-M52-M53-M54-M55-M56-M57),0,#REF!-M47-M48-M49-M50-M51-M52-M53-M54-M55-M56-M57)</f>
        <v>0</v>
      </c>
      <c r="N93" s="413">
        <f>IF(ISERROR(#REF!-N47-N48-N49-N50-N51-N52-N53-N54-N55-N56-N57),0,#REF!-N47-N48-N49-N50-N51-N52-N53-N54-N55-N56-N57)</f>
        <v>0</v>
      </c>
      <c r="O93" s="413"/>
      <c r="P93" s="413">
        <f t="shared" si="27"/>
        <v>0</v>
      </c>
      <c r="Q93" s="413"/>
      <c r="R93" s="413"/>
      <c r="S93" s="413"/>
      <c r="T93" s="413"/>
      <c r="U93" s="413"/>
      <c r="V93" s="413"/>
      <c r="W93" s="413"/>
      <c r="X93" s="241"/>
      <c r="Z93" s="459"/>
      <c r="AA93" s="481"/>
      <c r="AB93" s="459"/>
      <c r="AC93" s="412"/>
      <c r="AD93" s="443"/>
    </row>
    <row r="94" spans="2:30" ht="13.5" hidden="1" thickTop="1">
      <c r="B94" s="381"/>
      <c r="C94" s="381"/>
      <c r="D94" s="381"/>
      <c r="E94" s="381"/>
      <c r="F94" s="381"/>
      <c r="G94" s="381">
        <f>IF(E95=4,G57,"")</f>
      </c>
      <c r="H94" s="381"/>
      <c r="I94" s="381"/>
      <c r="J94" s="381"/>
      <c r="K94" s="381"/>
      <c r="L94" s="413">
        <f>IF(ISERROR(#REF!-L47-L48-L49-L50-L51-L52-L53-L54-L55-L56-L57-L58),0,#REF!-L47-L48-L49-L50-L51-L52-L53-L54-L55-L56-L57-L58)</f>
        <v>0</v>
      </c>
      <c r="M94" s="413">
        <f>IF(ISERROR(#REF!-M47-M48-M49-M50-M51-M52-M53-M54-M55-M56-M57-M58),0,#REF!-M47-M48-M49-M50-M51-M52-M53-M54-M55-M56-M57-M58)</f>
        <v>0</v>
      </c>
      <c r="N94" s="413">
        <f>IF(ISERROR(#REF!-N47-N48-N49-N50-N51-N52-N53-N54-N55-N56-N57-N58),0,#REF!-N47-N48-N49-N50-N51-N52-N53-N54-N55-N56-N57-N58)</f>
        <v>0</v>
      </c>
      <c r="O94" s="413"/>
      <c r="P94" s="413">
        <f t="shared" si="27"/>
        <v>0</v>
      </c>
      <c r="Q94" s="413"/>
      <c r="R94" s="413"/>
      <c r="S94" s="413"/>
      <c r="T94" s="413"/>
      <c r="U94" s="413"/>
      <c r="V94" s="413"/>
      <c r="W94" s="413"/>
      <c r="X94" s="241"/>
      <c r="Z94" s="459"/>
      <c r="AA94" s="481"/>
      <c r="AB94" s="459"/>
      <c r="AC94" s="412"/>
      <c r="AD94" s="443"/>
    </row>
    <row r="95" spans="2:30" ht="13.5" hidden="1" thickTop="1">
      <c r="B95" s="381"/>
      <c r="C95" s="381"/>
      <c r="D95" s="381"/>
      <c r="E95" s="381"/>
      <c r="F95" s="381"/>
      <c r="G95" s="381">
        <f>IF(E96=4,G58,"")</f>
      </c>
      <c r="H95" s="381"/>
      <c r="I95" s="381"/>
      <c r="J95" s="381"/>
      <c r="K95" s="381"/>
      <c r="L95" s="413">
        <f>IF(ISERROR(#REF!-L47-L48-L49-L50-L51-L52-L53-L54-L55-L56-L57-L58-L59),0,#REF!-L47-L48-L49-L50-L51-L52-L53-L54-L55-L56-L57-L58-L59)</f>
        <v>0</v>
      </c>
      <c r="M95" s="413">
        <f>IF(ISERROR(#REF!-M47-M48-M49-M50-M51-M52-M53-M54-M55-M56-M57-M58-M59),0,#REF!-M47-M48-M49-M50-M51-M52-M53-M54-M55-M56-M57-M58-M59)</f>
        <v>0</v>
      </c>
      <c r="N95" s="413">
        <f>IF(ISERROR(#REF!-N47-N48-N49-N50-N51-N52-N53-N54-N55-N56-N57-N58-N59),0,#REF!-N47-N48-N49-N50-N51-N52-N53-N54-N55-N56-N57-N58-N59)</f>
        <v>0</v>
      </c>
      <c r="O95" s="413"/>
      <c r="P95" s="413">
        <f t="shared" si="27"/>
        <v>0</v>
      </c>
      <c r="Q95" s="413"/>
      <c r="R95" s="413"/>
      <c r="S95" s="413"/>
      <c r="T95" s="413"/>
      <c r="U95" s="413"/>
      <c r="V95" s="413"/>
      <c r="W95" s="413"/>
      <c r="X95" s="241"/>
      <c r="Z95" s="459"/>
      <c r="AA95" s="481"/>
      <c r="AB95" s="459"/>
      <c r="AC95" s="412"/>
      <c r="AD95" s="443"/>
    </row>
    <row r="96" spans="2:30" ht="13.5" hidden="1" thickTop="1">
      <c r="B96" s="381"/>
      <c r="C96" s="381"/>
      <c r="D96" s="381"/>
      <c r="E96" s="381"/>
      <c r="F96" s="381"/>
      <c r="G96" s="381">
        <f>IF(E97=4,G59,"")</f>
      </c>
      <c r="H96" s="381"/>
      <c r="I96" s="381"/>
      <c r="J96" s="381"/>
      <c r="K96" s="381"/>
      <c r="L96" s="413">
        <f>IF(ISERROR(#REF!-L47-L48-L49-L50-L51-L52-L53-L54-L55-L56-L57-L58-L59-L60),0,#REF!-L47-L48-L49-L50-L51-L52-L53-L54-L55-L56-L57-L58-L59-L60)</f>
        <v>0</v>
      </c>
      <c r="M96" s="413">
        <f>IF(ISERROR(#REF!-M47-M48-M49-M50-M51-M52-M53-M54-M55-M56-M57-M58-M59-M60),0,#REF!-M47-M48-M49-M50-M51-M52-M53-M54-M55-M56-M57-M58-M59-M60)</f>
        <v>0</v>
      </c>
      <c r="N96" s="413">
        <f>IF(ISERROR(#REF!-N47-N48-N49-N50-N51-N52-N53-N54-N55-N56-N57-N58-N59-N60),0,#REF!-N47-N48-N49-N50-N51-N52-N53-N54-N55-N56-N57-N58-N59-N60)</f>
        <v>0</v>
      </c>
      <c r="O96" s="413"/>
      <c r="P96" s="413">
        <f t="shared" si="27"/>
        <v>0</v>
      </c>
      <c r="Q96" s="413"/>
      <c r="R96" s="413"/>
      <c r="S96" s="413"/>
      <c r="T96" s="413"/>
      <c r="U96" s="413"/>
      <c r="V96" s="413"/>
      <c r="W96" s="413"/>
      <c r="X96" s="241"/>
      <c r="Z96" s="459"/>
      <c r="AA96" s="481"/>
      <c r="AB96" s="459"/>
      <c r="AC96" s="412"/>
      <c r="AD96" s="443"/>
    </row>
    <row r="97" spans="2:30" ht="13.5" hidden="1" thickTop="1">
      <c r="B97" s="381"/>
      <c r="C97" s="381"/>
      <c r="D97" s="381"/>
      <c r="E97" s="381"/>
      <c r="F97" s="381"/>
      <c r="G97" s="381"/>
      <c r="H97" s="381"/>
      <c r="I97" s="381"/>
      <c r="J97" s="381"/>
      <c r="K97" s="381"/>
      <c r="L97" s="413">
        <f>IF(ISERROR(#REF!-L47-L48-L49-L50-L51-L52-L53-L54-L55-L56-L57-L58-L59-L60-L61),0,#REF!-L47-L48-L49-L50-L51-L52-L53-L54-L55-L56-L57-L58-L59-L60-L61)</f>
        <v>0</v>
      </c>
      <c r="M97" s="413">
        <f>IF(ISERROR(#REF!-M47-M48-M49-M50-M51-M52-M53-M54-M55-M56-M57-M58-M59-M60-M61),0,#REF!-M47-M48-M49-M50-M51-M52-M53-M54-M55-M56-M57-M58-M59-M60-M61)</f>
        <v>0</v>
      </c>
      <c r="N97" s="413">
        <f>IF(ISERROR(#REF!-N47-N48-N49-N50-N51-N52-N53-N54-N55-N56-N57-N58-N59-N60-N61),0,#REF!-N47-N48-N49-N50-N51-N52-N53-N54-N55-N56-N57-N58-N59-N60-N61)</f>
        <v>0</v>
      </c>
      <c r="O97" s="413"/>
      <c r="P97" s="413">
        <f t="shared" si="27"/>
        <v>0</v>
      </c>
      <c r="Q97" s="413"/>
      <c r="R97" s="413"/>
      <c r="S97" s="413"/>
      <c r="T97" s="413"/>
      <c r="U97" s="413"/>
      <c r="V97" s="413"/>
      <c r="W97" s="413"/>
      <c r="X97" s="241"/>
      <c r="Z97" s="459"/>
      <c r="AA97" s="481"/>
      <c r="AB97" s="459"/>
      <c r="AC97" s="412"/>
      <c r="AD97" s="443"/>
    </row>
    <row r="98" spans="2:30" ht="13.5" hidden="1" thickTop="1">
      <c r="B98" s="381"/>
      <c r="C98" s="381"/>
      <c r="D98" s="381"/>
      <c r="E98" s="381"/>
      <c r="F98" s="381"/>
      <c r="G98" s="381"/>
      <c r="H98" s="381"/>
      <c r="I98" s="381"/>
      <c r="J98" s="381"/>
      <c r="K98" s="381"/>
      <c r="L98" s="413">
        <f>IF(ISERROR(#REF!-L47-L48-L49-L50-L51-L52-L53-L54-L55-L56-L57-L58-L59-L60-L61-L62),0,#REF!-L47-L48-L49-L50-L51-L52-L53-L54-L55-L56-L57-L58-L59-L60-L61-L62)</f>
        <v>0</v>
      </c>
      <c r="M98" s="413">
        <f>IF(ISERROR(#REF!-M47-M48-M49-M50-M51-M52-M53-M54-M55-M56-M57-M58-M59-M60-M61-M62),0,#REF!-M47-M48-M49-M50-M51-M52-M53-M54-M55-M56-M57-M58-M59-M60-M61-M62)</f>
        <v>0</v>
      </c>
      <c r="N98" s="413">
        <f>IF(ISERROR(#REF!-N47-N48-N49-N50-N51-N52-N53-N54-N55-N56-N57-N58-N59-N60-N61-N62),0,#REF!-N47-N48-N49-N50-N51-N52-N53-N54-N55-N56-N57-N58-N59-N60-N61-N62)</f>
        <v>0</v>
      </c>
      <c r="O98" s="413"/>
      <c r="P98" s="413">
        <f t="shared" si="27"/>
        <v>0</v>
      </c>
      <c r="Q98" s="413"/>
      <c r="R98" s="413"/>
      <c r="S98" s="413"/>
      <c r="T98" s="413"/>
      <c r="U98" s="413"/>
      <c r="V98" s="413"/>
      <c r="W98" s="413"/>
      <c r="X98" s="241"/>
      <c r="Z98" s="459"/>
      <c r="AA98" s="481"/>
      <c r="AB98" s="459"/>
      <c r="AC98" s="412"/>
      <c r="AD98" s="443"/>
    </row>
    <row r="99" spans="2:30" ht="13.5" hidden="1" thickTop="1">
      <c r="B99" s="381"/>
      <c r="C99" s="381"/>
      <c r="D99" s="381"/>
      <c r="E99" s="381"/>
      <c r="F99" s="381"/>
      <c r="G99" s="381"/>
      <c r="H99" s="381"/>
      <c r="I99" s="381"/>
      <c r="J99" s="381"/>
      <c r="K99" s="381"/>
      <c r="L99" s="413">
        <f>IF(ISERROR(#REF!-L47-L48-L49-L50-L51-L52-L53-L54-L55-L56-L57-L58-L59-L60-L61-L62-L63),0,#REF!-L47-L48-L49-L50-L51-L52-L53-L54-L55-L56-L57-L58-L59-L60-L61-L62-L63)</f>
        <v>0</v>
      </c>
      <c r="M99" s="413">
        <f>IF(ISERROR(#REF!-M47-M48-M49-M50-M51-M52-M53-M54-M55-M56-M57-M58-M59-M60-M61-M62-M63),0,#REF!-M47-M48-M49-M50-M51-M52-M53-M54-M55-M56-M57-M58-M59-M60-M61-M62-M63)</f>
        <v>0</v>
      </c>
      <c r="N99" s="413">
        <f>IF(ISERROR(#REF!-N47-N48-N49-N50-N51-N52-N53-N54-N55-N56-N57-N58-N59-N60-N61-N62-N63),0,#REF!-N47-N48-N49-N50-N51-N52-N53-N54-N55-N56-N57-N58-N59-N60-N61-N62-N63)</f>
        <v>0</v>
      </c>
      <c r="O99" s="413"/>
      <c r="P99" s="413">
        <f t="shared" si="27"/>
        <v>0</v>
      </c>
      <c r="Q99" s="413"/>
      <c r="R99" s="413"/>
      <c r="S99" s="413"/>
      <c r="T99" s="413"/>
      <c r="U99" s="413"/>
      <c r="V99" s="413"/>
      <c r="W99" s="413"/>
      <c r="X99" s="241"/>
      <c r="Z99" s="459"/>
      <c r="AA99" s="481"/>
      <c r="AB99" s="459"/>
      <c r="AC99" s="412"/>
      <c r="AD99" s="443"/>
    </row>
    <row r="100" spans="2:30" ht="13.5" hidden="1" thickTop="1">
      <c r="B100" s="381"/>
      <c r="C100" s="381"/>
      <c r="D100" s="381"/>
      <c r="E100" s="381"/>
      <c r="F100" s="381"/>
      <c r="G100" s="381"/>
      <c r="H100" s="381"/>
      <c r="I100" s="381"/>
      <c r="J100" s="381"/>
      <c r="K100" s="381"/>
      <c r="L100" s="413">
        <f>IF(ISERROR(#REF!-L47-L48-L49-L50-L51-L52-L53-L54-L55-L56-L57-L58-L59-L60-L61-L62-L63-L64),0,#REF!-L47-L48-L49-L50-L51-L52-L53-L54-L55-L56-L57-L58-L59-L60-L61-L62-L63-L64)</f>
        <v>0</v>
      </c>
      <c r="M100" s="413">
        <f>IF(ISERROR(#REF!-M47-M48-M49-M50-M51-M52-M53-M54-M55-M56-M57-M58-M59-M60-M61-M62-M63-M64),0,#REF!-M47-M48-M49-M50-M51-M52-M53-M54-M55-M56-M57-M58-M59-M60-M61-M62-M63-M64)</f>
        <v>0</v>
      </c>
      <c r="N100" s="413">
        <f>IF(ISERROR(#REF!-N47-N48-N49-N50-N51-N52-N53-N54-N55-N56-N57-N58-N59-N60-N61-N62-N63-N64),0,#REF!-N47-N48-N49-N50-N51-N52-N53-N54-N55-N56-N57-N58-N59-N60-N61-N62-N63-N64)</f>
        <v>0</v>
      </c>
      <c r="O100" s="413"/>
      <c r="P100" s="413">
        <f t="shared" si="27"/>
        <v>0</v>
      </c>
      <c r="Q100" s="413"/>
      <c r="R100" s="413"/>
      <c r="S100" s="413"/>
      <c r="T100" s="413"/>
      <c r="U100" s="413"/>
      <c r="V100" s="413"/>
      <c r="W100" s="413"/>
      <c r="X100" s="241"/>
      <c r="Z100" s="459"/>
      <c r="AA100" s="481"/>
      <c r="AB100" s="459"/>
      <c r="AC100" s="412"/>
      <c r="AD100" s="443"/>
    </row>
    <row r="101" spans="2:30" ht="13.5" hidden="1" thickTop="1">
      <c r="B101" s="381"/>
      <c r="C101" s="381"/>
      <c r="D101" s="381"/>
      <c r="E101" s="381"/>
      <c r="F101" s="381"/>
      <c r="G101" s="381"/>
      <c r="H101" s="381"/>
      <c r="I101" s="381"/>
      <c r="J101" s="381"/>
      <c r="K101" s="381"/>
      <c r="L101" s="413">
        <f>IF(ISERROR(#REF!-L47-L48-L49-L50-L51-L52-L53-L54-L55-L56-L57-L58-L59-L60-L61-L62-L63-L64-L65),0,#REF!-L47-L48-L49-L50-L51-L52-L53-L54-L55-L56-L57-L58-L59-L60-L61-L62-L63-L64-L65)</f>
        <v>0</v>
      </c>
      <c r="M101" s="413">
        <f>IF(ISERROR(#REF!-M47-M48-M49-M50-M51-M52-M53-M54-M55-M56-M57-M58-M59-M60-M61-M62-M63-M64-M65),0,#REF!-M47-M48-M49-M50-M51-M52-M53-M54-M55-M56-M57-M58-M59-M60-M61-M62-M63-M64-M65)</f>
        <v>0</v>
      </c>
      <c r="N101" s="413">
        <f>IF(ISERROR(#REF!-N47-N48-N49-N50-N51-N52-N53-N54-N55-N56-N57-N58-N59-N60-N61-N62-N63-N64-N65),0,#REF!-N47-N48-N49-N50-N51-N52-N53-N54-N55-N56-N57-N58-N59-N60-N61-N62-N63-N64-N65)</f>
        <v>0</v>
      </c>
      <c r="O101" s="413"/>
      <c r="P101" s="413">
        <f t="shared" si="27"/>
        <v>0</v>
      </c>
      <c r="Q101" s="413"/>
      <c r="R101" s="413"/>
      <c r="S101" s="413"/>
      <c r="T101" s="413"/>
      <c r="U101" s="413"/>
      <c r="V101" s="413"/>
      <c r="W101" s="413"/>
      <c r="X101" s="241"/>
      <c r="Z101" s="459"/>
      <c r="AA101" s="481"/>
      <c r="AB101" s="459"/>
      <c r="AC101" s="412"/>
      <c r="AD101" s="443"/>
    </row>
    <row r="102" spans="2:24" ht="13.5" hidden="1" thickTop="1">
      <c r="B102" s="381"/>
      <c r="C102" s="381"/>
      <c r="D102" s="381"/>
      <c r="E102" s="381"/>
      <c r="F102" s="381">
        <f>SUM(F83:F101)</f>
        <v>0</v>
      </c>
      <c r="G102" s="381"/>
      <c r="H102" s="381"/>
      <c r="I102" s="381" t="s">
        <v>142</v>
      </c>
      <c r="J102" s="413">
        <f>SUM(SUMIF($E$84:$E$93,J77,J$84:J$92),SUMIF($E$84:$E$93,J78,J$84:J$93))</f>
        <v>0</v>
      </c>
      <c r="K102" s="413">
        <f>SUM(SUMIF($E$84:$E$93,K77,K$84:K$92),SUMIF($E$84:$E$93,K78,K$84:K$93))</f>
        <v>0</v>
      </c>
      <c r="L102" s="413">
        <f>SUM(SUMIF($E$84:$E$93,L77,L$84:L$92),SUMIF($E$84:$E$93,L78,L$84:L$93))</f>
        <v>0</v>
      </c>
      <c r="M102" s="413">
        <f>SUM(SUMIF($E$84:$E$93,M77,M$84:M$92),SUMIF($E$84:$E$93,M78,M$84:M$93))</f>
        <v>0</v>
      </c>
      <c r="N102" s="413">
        <f>SUM(SUMIF($E$84:$E$93,N77,N$84:N$92),SUMIF($E$84:$E$93,N78,N$84:N$93))</f>
        <v>0</v>
      </c>
      <c r="O102" s="413"/>
      <c r="P102" s="413">
        <f t="shared" si="27"/>
        <v>0</v>
      </c>
      <c r="Q102" s="413"/>
      <c r="R102" s="413"/>
      <c r="S102" s="413"/>
      <c r="T102" s="413"/>
      <c r="U102" s="413"/>
      <c r="V102" s="413"/>
      <c r="W102" s="413"/>
      <c r="X102" s="241"/>
    </row>
    <row r="103" spans="2:18" ht="13.5" hidden="1" thickTop="1">
      <c r="B103" s="381"/>
      <c r="C103" s="381"/>
      <c r="D103" s="381"/>
      <c r="E103" s="381"/>
      <c r="F103" s="381"/>
      <c r="G103" s="381">
        <f>SUM(G84:G102)</f>
        <v>0</v>
      </c>
      <c r="H103" s="381"/>
      <c r="I103" s="381"/>
      <c r="J103" s="381"/>
      <c r="K103" s="381"/>
      <c r="L103" s="381"/>
      <c r="M103" s="381"/>
      <c r="N103" s="381"/>
      <c r="O103" s="381"/>
      <c r="P103" s="413">
        <f t="shared" si="27"/>
        <v>0</v>
      </c>
      <c r="Q103" s="381"/>
      <c r="R103" s="381"/>
    </row>
    <row r="104" spans="1:48" s="484" customFormat="1" ht="13.5" hidden="1" thickTop="1">
      <c r="A104" s="482"/>
      <c r="B104" s="483"/>
      <c r="C104" s="483"/>
      <c r="D104" s="483"/>
      <c r="E104" s="483"/>
      <c r="F104" s="483"/>
      <c r="G104" s="483"/>
      <c r="H104" s="483"/>
      <c r="I104" s="483"/>
      <c r="J104" s="483"/>
      <c r="K104" s="483"/>
      <c r="L104" s="483"/>
      <c r="M104" s="483"/>
      <c r="N104" s="483"/>
      <c r="O104" s="483"/>
      <c r="P104" s="483"/>
      <c r="Q104" s="483"/>
      <c r="R104" s="483"/>
      <c r="X104" s="373"/>
      <c r="Y104" s="483"/>
      <c r="Z104" s="483"/>
      <c r="AA104" s="483"/>
      <c r="AB104" s="483"/>
      <c r="AC104" s="483"/>
      <c r="AD104" s="483"/>
      <c r="AE104" s="483"/>
      <c r="AF104" s="483"/>
      <c r="AG104" s="483"/>
      <c r="AH104" s="483"/>
      <c r="AI104" s="483"/>
      <c r="AJ104" s="483"/>
      <c r="AK104" s="483"/>
      <c r="AL104" s="483"/>
      <c r="AM104" s="483"/>
      <c r="AN104" s="483"/>
      <c r="AO104" s="483"/>
      <c r="AP104" s="483"/>
      <c r="AQ104" s="483"/>
      <c r="AR104" s="483"/>
      <c r="AS104" s="483"/>
      <c r="AT104" s="483"/>
      <c r="AU104" s="483"/>
      <c r="AV104" s="483"/>
    </row>
    <row r="105" spans="1:48" s="486" customFormat="1" ht="13.5" hidden="1" thickTop="1">
      <c r="A105" s="485"/>
      <c r="D105" s="404"/>
      <c r="E105" s="404"/>
      <c r="H105" s="487" t="s">
        <v>117</v>
      </c>
      <c r="I105" s="488" t="s">
        <v>110</v>
      </c>
      <c r="J105" s="486" t="s">
        <v>116</v>
      </c>
      <c r="K105" s="486" t="s">
        <v>118</v>
      </c>
      <c r="L105" s="489" t="s">
        <v>119</v>
      </c>
      <c r="M105" s="489" t="s">
        <v>120</v>
      </c>
      <c r="N105" s="382" t="s">
        <v>130</v>
      </c>
      <c r="O105" s="404"/>
      <c r="P105" s="404"/>
      <c r="Q105" s="404"/>
      <c r="R105" s="404"/>
      <c r="X105" s="490"/>
      <c r="Y105" s="404"/>
      <c r="Z105" s="404"/>
      <c r="AA105" s="404"/>
      <c r="AB105" s="404"/>
      <c r="AC105" s="404"/>
      <c r="AD105" s="404"/>
      <c r="AE105" s="404"/>
      <c r="AF105" s="404"/>
      <c r="AG105" s="404"/>
      <c r="AH105" s="404"/>
      <c r="AI105" s="404"/>
      <c r="AJ105" s="404"/>
      <c r="AK105" s="404"/>
      <c r="AL105" s="404"/>
      <c r="AM105" s="404"/>
      <c r="AN105" s="404"/>
      <c r="AO105" s="404"/>
      <c r="AP105" s="404"/>
      <c r="AQ105" s="404"/>
      <c r="AR105" s="404"/>
      <c r="AS105" s="404"/>
      <c r="AT105" s="404"/>
      <c r="AU105" s="404"/>
      <c r="AV105" s="404"/>
    </row>
    <row r="106" spans="8:18" ht="13.5" hidden="1" thickTop="1">
      <c r="H106" s="491">
        <v>1</v>
      </c>
      <c r="I106" s="492">
        <f>IF($K106="","",acct1_off)</f>
      </c>
      <c r="J106" s="382">
        <f>IF($K106="","",dos_1_off)</f>
      </c>
      <c r="K106" s="493">
        <f>IF(J$46&gt;0.01,J$46,"")</f>
      </c>
      <c r="L106" s="382">
        <f aca="true" t="shared" si="28" ref="L106:L150">IF(K106="","",(SUMIF($J$106:$J$149,J106,$K$106:$K$149)))</f>
      </c>
      <c r="M106" s="47">
        <f aca="true" t="shared" si="29" ref="M106:M150">IF(ISERROR(K106/SUMIF($J$35:$N$35,J106,$J$41:$N$41)),"",(K106/SUMIF($J$35:$N$35,J106,$J$41:$N$41)))</f>
      </c>
      <c r="N106" s="494">
        <f>IF(OR(fundtype1_off=2,fundtype1_off=3),J$84/dos1_total_off,"")</f>
      </c>
      <c r="O106" s="381"/>
      <c r="P106" s="381"/>
      <c r="Q106" s="381"/>
      <c r="R106" s="381"/>
    </row>
    <row r="107" spans="8:18" ht="13.5" hidden="1" thickTop="1">
      <c r="H107" s="491">
        <v>1</v>
      </c>
      <c r="I107" s="492">
        <f>IF($K107="","",acct1_off)</f>
      </c>
      <c r="J107" s="382">
        <f>IF($K107="","",dos_2_off)</f>
      </c>
      <c r="K107" s="493">
        <f>IF(K$46&gt;0.01,K$46,"")</f>
      </c>
      <c r="L107" s="382">
        <f t="shared" si="28"/>
      </c>
      <c r="M107" s="47">
        <f t="shared" si="29"/>
      </c>
      <c r="N107" s="494">
        <f>IF(OR(fundtype1_off=2,fundtype1_off=3),K$84/dos2_total_off,"")</f>
      </c>
      <c r="O107" s="381"/>
      <c r="P107" s="381"/>
      <c r="Q107" s="381"/>
      <c r="R107" s="381"/>
    </row>
    <row r="108" spans="8:18" ht="13.5" hidden="1" thickTop="1">
      <c r="H108" s="491">
        <v>1</v>
      </c>
      <c r="I108" s="492">
        <f>IF($K108="","",acct1_off)</f>
      </c>
      <c r="J108" s="382">
        <f>IF($K108="","",dos_3_off)</f>
      </c>
      <c r="K108" s="493">
        <f>IF(L$46&gt;0.01,L$46,"")</f>
      </c>
      <c r="L108" s="382">
        <f t="shared" si="28"/>
      </c>
      <c r="M108" s="47">
        <f t="shared" si="29"/>
      </c>
      <c r="N108" s="494">
        <f>IF(OR(fundtype1_off=2,fundtype1_off=3),L$84/dos3_total_off,"")</f>
      </c>
      <c r="O108" s="381"/>
      <c r="P108" s="381"/>
      <c r="Q108" s="381"/>
      <c r="R108" s="381"/>
    </row>
    <row r="109" spans="8:18" ht="13.5" hidden="1" thickTop="1">
      <c r="H109" s="491">
        <v>1</v>
      </c>
      <c r="I109" s="492">
        <f>IF($K109="","",acct1_off)</f>
      </c>
      <c r="J109" s="382">
        <f>IF($K109="","",dos_4_off)</f>
      </c>
      <c r="K109" s="493">
        <f>IF(M$46&gt;0.01,M$46,"")</f>
      </c>
      <c r="L109" s="382">
        <f t="shared" si="28"/>
      </c>
      <c r="M109" s="47">
        <f t="shared" si="29"/>
      </c>
      <c r="N109" s="494">
        <f>IF(OR(fundtype1_off=2,fundtype1_off=3),M$84/dos4_total_off,"")</f>
      </c>
      <c r="O109" s="381"/>
      <c r="P109" s="381"/>
      <c r="Q109" s="381"/>
      <c r="R109" s="381"/>
    </row>
    <row r="110" spans="8:18" ht="13.5" hidden="1" thickTop="1">
      <c r="H110" s="495">
        <v>1</v>
      </c>
      <c r="I110" s="492">
        <f>IF($K110="","",acct1_off)</f>
      </c>
      <c r="J110" s="382">
        <f>IF($K110="","",dos_5_off)</f>
      </c>
      <c r="K110" s="493">
        <f>IF(N$46&gt;0.01,N$46,"")</f>
      </c>
      <c r="L110" s="382">
        <f t="shared" si="28"/>
      </c>
      <c r="M110" s="47">
        <f t="shared" si="29"/>
      </c>
      <c r="N110" s="494">
        <f>IF(OR(fundtype1_off=2,fundtype1_off=3),N$84/dos5_total_off,"")</f>
      </c>
      <c r="O110" s="381"/>
      <c r="P110" s="381"/>
      <c r="Q110" s="381"/>
      <c r="R110" s="381"/>
    </row>
    <row r="111" spans="8:18" ht="13.5" hidden="1" thickTop="1">
      <c r="H111" s="491">
        <v>2</v>
      </c>
      <c r="I111" s="492">
        <f>IF($K111="","",acct2_off)</f>
      </c>
      <c r="J111" s="382">
        <f>IF($K111="","",dos_1_off)</f>
      </c>
      <c r="K111" s="493">
        <f>IF(J$47&gt;0.01,J$47,"")</f>
      </c>
      <c r="L111" s="382">
        <f t="shared" si="28"/>
      </c>
      <c r="M111" s="47">
        <f t="shared" si="29"/>
      </c>
      <c r="N111" s="494">
        <f>IF(OR(fundtype2_off=2,fundtype2_off=3),J$85/dos1_total_off,"")</f>
      </c>
      <c r="O111" s="381"/>
      <c r="P111" s="381"/>
      <c r="Q111" s="381"/>
      <c r="R111" s="381"/>
    </row>
    <row r="112" spans="8:18" ht="13.5" hidden="1" thickTop="1">
      <c r="H112" s="491">
        <v>2</v>
      </c>
      <c r="I112" s="492">
        <f>IF($K112="","",acct2_off)</f>
      </c>
      <c r="J112" s="382">
        <f>IF($K112="","",dos_2_off)</f>
      </c>
      <c r="K112" s="493">
        <f>IF(K$47&gt;0.01,K$47,"")</f>
      </c>
      <c r="L112" s="382">
        <f t="shared" si="28"/>
      </c>
      <c r="M112" s="47">
        <f t="shared" si="29"/>
      </c>
      <c r="N112" s="494">
        <f>IF(OR(fundtype2_off=2,fundtype2_off=3),K$85/dos2_total_off,"")</f>
      </c>
      <c r="O112" s="381"/>
      <c r="P112" s="381"/>
      <c r="Q112" s="381"/>
      <c r="R112" s="381"/>
    </row>
    <row r="113" spans="8:18" ht="13.5" hidden="1" thickTop="1">
      <c r="H113" s="491">
        <v>2</v>
      </c>
      <c r="I113" s="492">
        <f>IF($K113="","",acct2_off)</f>
      </c>
      <c r="J113" s="382">
        <f>IF($K113="","",dos_3_off)</f>
      </c>
      <c r="K113" s="493">
        <f>IF(L$47&gt;0.01,L$47,"")</f>
      </c>
      <c r="L113" s="382">
        <f t="shared" si="28"/>
      </c>
      <c r="M113" s="47">
        <f t="shared" si="29"/>
      </c>
      <c r="N113" s="494">
        <f>IF(OR(fundtype2_off=2,fundtype2_off=3),L$85/dos3_total_off,"")</f>
      </c>
      <c r="O113" s="381"/>
      <c r="P113" s="381"/>
      <c r="Q113" s="381"/>
      <c r="R113" s="381"/>
    </row>
    <row r="114" spans="8:18" ht="13.5" hidden="1" thickTop="1">
      <c r="H114" s="491">
        <v>2</v>
      </c>
      <c r="I114" s="492">
        <f>IF($K114="","",acct2_off)</f>
      </c>
      <c r="J114" s="382">
        <f>IF($K114="","",dos_4_off)</f>
      </c>
      <c r="K114" s="493">
        <f>IF(M$47&gt;0.01,M$47,"")</f>
      </c>
      <c r="L114" s="382">
        <f t="shared" si="28"/>
      </c>
      <c r="M114" s="47">
        <f t="shared" si="29"/>
      </c>
      <c r="N114" s="494">
        <f>IF(OR(fundtype2_off=2,fundtype2_off=3),M$85/dos4_total_off,"")</f>
      </c>
      <c r="O114" s="381"/>
      <c r="P114" s="381"/>
      <c r="Q114" s="381"/>
      <c r="R114" s="381"/>
    </row>
    <row r="115" spans="8:18" ht="13.5" hidden="1" thickTop="1">
      <c r="H115" s="495">
        <v>2</v>
      </c>
      <c r="I115" s="492">
        <f>IF($K115="","",acct2_off)</f>
      </c>
      <c r="J115" s="382">
        <f>IF($K115="","",dos_5_off)</f>
      </c>
      <c r="K115" s="493">
        <f>IF(N$47&gt;0.01,N$47,"")</f>
      </c>
      <c r="L115" s="382">
        <f t="shared" si="28"/>
      </c>
      <c r="M115" s="47">
        <f t="shared" si="29"/>
      </c>
      <c r="N115" s="494">
        <f>IF(OR(fundtype2_off=2,fundtype2_off=3),N$85/dos5_total_off,"")</f>
      </c>
      <c r="O115" s="381"/>
      <c r="P115" s="381"/>
      <c r="Q115" s="381"/>
      <c r="R115" s="381"/>
    </row>
    <row r="116" spans="8:18" ht="13.5" hidden="1" thickTop="1">
      <c r="H116" s="491">
        <v>3</v>
      </c>
      <c r="I116" s="492">
        <f>IF($K116="","",acct3_off)</f>
      </c>
      <c r="J116" s="382">
        <f>IF($K116="","",dos_1_off)</f>
      </c>
      <c r="K116" s="493">
        <f>IF(J$48&gt;0.01,J$48,"")</f>
      </c>
      <c r="L116" s="382">
        <f t="shared" si="28"/>
      </c>
      <c r="M116" s="47">
        <f t="shared" si="29"/>
      </c>
      <c r="N116" s="494">
        <f>IF(OR(fundtype3_off=2,fundtype3_off=3),J$86/dos1_total_off,"")</f>
      </c>
      <c r="O116" s="381"/>
      <c r="P116" s="381"/>
      <c r="Q116" s="381"/>
      <c r="R116" s="381"/>
    </row>
    <row r="117" spans="8:18" ht="13.5" hidden="1" thickTop="1">
      <c r="H117" s="491">
        <v>3</v>
      </c>
      <c r="I117" s="492">
        <f>IF($K117="","",acct3_off)</f>
      </c>
      <c r="J117" s="382">
        <f>IF($K117="","",dos_2_off)</f>
      </c>
      <c r="K117" s="493">
        <f>IF(K$48&gt;0.01,K$48,"")</f>
      </c>
      <c r="L117" s="382">
        <f t="shared" si="28"/>
      </c>
      <c r="M117" s="47">
        <f t="shared" si="29"/>
      </c>
      <c r="N117" s="494">
        <f>IF(OR(fundtype3_off=2,fundtype3_off=3),K$86/dos2_total_off,"")</f>
      </c>
      <c r="O117" s="381"/>
      <c r="P117" s="381"/>
      <c r="Q117" s="381"/>
      <c r="R117" s="381"/>
    </row>
    <row r="118" spans="8:18" ht="13.5" hidden="1" thickTop="1">
      <c r="H118" s="491">
        <v>3</v>
      </c>
      <c r="I118" s="492">
        <f>IF($K118="","",acct3_off)</f>
      </c>
      <c r="J118" s="382">
        <f>IF($K118="","",dos_3_off)</f>
      </c>
      <c r="K118" s="493">
        <f>IF(L$48&gt;0.01,L$48,"")</f>
      </c>
      <c r="L118" s="382">
        <f t="shared" si="28"/>
      </c>
      <c r="M118" s="47">
        <f t="shared" si="29"/>
      </c>
      <c r="N118" s="494">
        <f>IF(OR(fundtype3_off=2,fundtype3_off=3),L$86/dos3_total_off,"")</f>
      </c>
      <c r="O118" s="381"/>
      <c r="P118" s="381"/>
      <c r="Q118" s="381"/>
      <c r="R118" s="381"/>
    </row>
    <row r="119" spans="8:18" ht="13.5" hidden="1" thickTop="1">
      <c r="H119" s="491">
        <v>3</v>
      </c>
      <c r="I119" s="492">
        <f>IF($K119="","",acct3_off)</f>
      </c>
      <c r="J119" s="382">
        <f>IF($K119="","",dos_4_off)</f>
      </c>
      <c r="K119" s="493">
        <f>IF(M$48&gt;0.01,M$48,"")</f>
      </c>
      <c r="L119" s="382">
        <f t="shared" si="28"/>
      </c>
      <c r="M119" s="47">
        <f t="shared" si="29"/>
      </c>
      <c r="N119" s="494">
        <f>IF(OR(fundtype3_off=2,fundtype3_off=3),M$86/dos4_total_off,"")</f>
      </c>
      <c r="O119" s="381"/>
      <c r="P119" s="381"/>
      <c r="Q119" s="381"/>
      <c r="R119" s="381"/>
    </row>
    <row r="120" spans="8:18" ht="13.5" hidden="1" thickTop="1">
      <c r="H120" s="495">
        <v>3</v>
      </c>
      <c r="I120" s="492">
        <f>IF($K120="","",acct3_off)</f>
      </c>
      <c r="J120" s="382">
        <f>IF($K120="","",dos_5_off)</f>
      </c>
      <c r="K120" s="493">
        <f>IF(N$48&gt;0.01,N$48,"")</f>
      </c>
      <c r="L120" s="382">
        <f t="shared" si="28"/>
      </c>
      <c r="M120" s="47">
        <f t="shared" si="29"/>
      </c>
      <c r="N120" s="494">
        <f>IF(OR(fundtype3_off=2,fundtype3_off=3),N$86/dos5_total_off,"")</f>
      </c>
      <c r="O120" s="381"/>
      <c r="P120" s="381"/>
      <c r="Q120" s="381"/>
      <c r="R120" s="381"/>
    </row>
    <row r="121" spans="8:18" ht="13.5" hidden="1" thickTop="1">
      <c r="H121" s="491">
        <v>4</v>
      </c>
      <c r="I121" s="492">
        <f>IF($K121="","",acct4_off)</f>
      </c>
      <c r="J121" s="382">
        <f>IF($K121="","",dos_1_off)</f>
      </c>
      <c r="K121" s="493">
        <f>IF(J$49&gt;0.01,J$49,"")</f>
      </c>
      <c r="L121" s="382">
        <f t="shared" si="28"/>
      </c>
      <c r="M121" s="47">
        <f t="shared" si="29"/>
      </c>
      <c r="N121" s="494">
        <f>IF(OR(fundtype4_off=2,fundtype4_off=3),J$87/dos1_total_off,"")</f>
      </c>
      <c r="O121" s="381"/>
      <c r="P121" s="381"/>
      <c r="Q121" s="381"/>
      <c r="R121" s="381"/>
    </row>
    <row r="122" spans="8:18" ht="13.5" hidden="1" thickTop="1">
      <c r="H122" s="491">
        <v>4</v>
      </c>
      <c r="I122" s="492">
        <f>IF($K122="","",acct4_off)</f>
      </c>
      <c r="J122" s="382">
        <f>IF($K122="","",dos_2_off)</f>
      </c>
      <c r="K122" s="493">
        <f>IF(K$49&gt;0.01,K$49,"")</f>
      </c>
      <c r="L122" s="382">
        <f t="shared" si="28"/>
      </c>
      <c r="M122" s="47">
        <f t="shared" si="29"/>
      </c>
      <c r="N122" s="494">
        <f>IF(OR(fundtype4_off=2,fundtype4_off=3),K$87/dos2_total_off,"")</f>
      </c>
      <c r="O122" s="381"/>
      <c r="P122" s="381"/>
      <c r="Q122" s="381"/>
      <c r="R122" s="381"/>
    </row>
    <row r="123" spans="8:18" ht="13.5" hidden="1" thickTop="1">
      <c r="H123" s="491">
        <v>4</v>
      </c>
      <c r="I123" s="492">
        <f>IF($K123="","",acct4_off)</f>
      </c>
      <c r="J123" s="382">
        <f>IF($K123="","",dos_3_off)</f>
      </c>
      <c r="K123" s="493">
        <f>IF(L$49&gt;0.01,L$49,"")</f>
      </c>
      <c r="L123" s="382">
        <f t="shared" si="28"/>
      </c>
      <c r="M123" s="47">
        <f t="shared" si="29"/>
      </c>
      <c r="N123" s="494">
        <f>IF(OR(fundtype4_off=2,fundtype4_off=3),L$87/dos3_total_off,"")</f>
      </c>
      <c r="O123" s="381"/>
      <c r="P123" s="381"/>
      <c r="Q123" s="381"/>
      <c r="R123" s="381"/>
    </row>
    <row r="124" spans="8:18" ht="13.5" hidden="1" thickTop="1">
      <c r="H124" s="491">
        <v>4</v>
      </c>
      <c r="I124" s="492">
        <f>IF($K124="","",acct4_off)</f>
      </c>
      <c r="J124" s="382">
        <f>IF($K124="","",dos_4_off)</f>
      </c>
      <c r="K124" s="493">
        <f>IF(M$49&gt;0.01,M$49,"")</f>
      </c>
      <c r="L124" s="382">
        <f t="shared" si="28"/>
      </c>
      <c r="M124" s="47">
        <f t="shared" si="29"/>
      </c>
      <c r="N124" s="494">
        <f>IF(OR(fundtype4_off=2,fundtype4_off=3),M$87/dos4_total_off,"")</f>
      </c>
      <c r="O124" s="381"/>
      <c r="P124" s="381"/>
      <c r="Q124" s="381"/>
      <c r="R124" s="381"/>
    </row>
    <row r="125" spans="8:18" ht="13.5" hidden="1" thickTop="1">
      <c r="H125" s="495">
        <v>4</v>
      </c>
      <c r="I125" s="492">
        <f>IF($K125="","",acct4_off)</f>
      </c>
      <c r="J125" s="382">
        <f>IF($K125="","",dos_5_off)</f>
      </c>
      <c r="K125" s="493">
        <f>IF(N$49&gt;0.01,N$49,"")</f>
      </c>
      <c r="L125" s="382">
        <f t="shared" si="28"/>
      </c>
      <c r="M125" s="47">
        <f t="shared" si="29"/>
      </c>
      <c r="N125" s="494">
        <f>IF(OR(fundtype4_off=2,fundtype4_off=3),N$87/dos5_total_off,"")</f>
      </c>
      <c r="O125" s="381"/>
      <c r="P125" s="381"/>
      <c r="Q125" s="381"/>
      <c r="R125" s="381"/>
    </row>
    <row r="126" spans="8:18" ht="13.5" hidden="1" thickTop="1">
      <c r="H126" s="491">
        <v>5</v>
      </c>
      <c r="I126" s="492">
        <f>IF($K126="","",acct5_off)</f>
      </c>
      <c r="J126" s="382">
        <f>IF($K126="","",dos_1_off)</f>
      </c>
      <c r="K126" s="493">
        <f>IF(J$50&gt;0.01,J$50,"")</f>
      </c>
      <c r="L126" s="382">
        <f t="shared" si="28"/>
      </c>
      <c r="M126" s="47">
        <f t="shared" si="29"/>
      </c>
      <c r="N126" s="494">
        <f>IF(OR(fundtype5_off=2,fundtype5_off=3),J$88/dos1_total_off,"")</f>
      </c>
      <c r="O126" s="381"/>
      <c r="P126" s="381"/>
      <c r="Q126" s="381"/>
      <c r="R126" s="381"/>
    </row>
    <row r="127" spans="8:18" ht="13.5" hidden="1" thickTop="1">
      <c r="H127" s="491">
        <v>5</v>
      </c>
      <c r="I127" s="492">
        <f>IF($K127="","",acct5_off)</f>
      </c>
      <c r="J127" s="382">
        <f>IF($K127="","",dos_2_off)</f>
      </c>
      <c r="K127" s="493">
        <f>IF(K$50&gt;0.01,K$50,"")</f>
      </c>
      <c r="L127" s="382">
        <f t="shared" si="28"/>
      </c>
      <c r="M127" s="47">
        <f t="shared" si="29"/>
      </c>
      <c r="N127" s="494">
        <f>IF(OR(fundtype5_off=2,fundtype5_off=3),K$88/dos2_total_off,"")</f>
      </c>
      <c r="O127" s="381"/>
      <c r="P127" s="381"/>
      <c r="Q127" s="381"/>
      <c r="R127" s="381"/>
    </row>
    <row r="128" spans="8:18" ht="13.5" hidden="1" thickTop="1">
      <c r="H128" s="491">
        <v>5</v>
      </c>
      <c r="I128" s="492">
        <f>IF($K128="","",acct5_off)</f>
      </c>
      <c r="J128" s="382">
        <f>IF($K128="","",dos_3_off)</f>
      </c>
      <c r="K128" s="493">
        <f>IF(L$50&gt;0.01,L$50,"")</f>
      </c>
      <c r="L128" s="382">
        <f t="shared" si="28"/>
      </c>
      <c r="M128" s="47">
        <f t="shared" si="29"/>
      </c>
      <c r="N128" s="494">
        <f>IF(OR(fundtype5_off=2,fundtype5_off=3),L$88/dos3_total_off,"")</f>
      </c>
      <c r="O128" s="381"/>
      <c r="P128" s="381"/>
      <c r="Q128" s="381"/>
      <c r="R128" s="381"/>
    </row>
    <row r="129" spans="8:18" ht="13.5" hidden="1" thickTop="1">
      <c r="H129" s="491">
        <v>5</v>
      </c>
      <c r="I129" s="492">
        <f>IF($K129="","",acct5_off)</f>
      </c>
      <c r="J129" s="382">
        <f>IF($K129="","",dos_4_off)</f>
      </c>
      <c r="K129" s="493">
        <f>IF(M$50&gt;0.01,M$50,"")</f>
      </c>
      <c r="L129" s="382">
        <f t="shared" si="28"/>
      </c>
      <c r="M129" s="47">
        <f t="shared" si="29"/>
      </c>
      <c r="N129" s="494">
        <f>IF(OR(fundtype5_off=2,fundtype5_off=3),M$88/dos4_total_off,"")</f>
      </c>
      <c r="O129" s="381"/>
      <c r="P129" s="381"/>
      <c r="Q129" s="381"/>
      <c r="R129" s="381"/>
    </row>
    <row r="130" spans="8:18" ht="13.5" hidden="1" thickTop="1">
      <c r="H130" s="495">
        <v>5</v>
      </c>
      <c r="I130" s="492">
        <f>IF($K130="","",acct5_off)</f>
      </c>
      <c r="J130" s="382">
        <f>IF($K130="","",dos_5_off)</f>
      </c>
      <c r="K130" s="493">
        <f>IF(N$50&gt;0.01,N$50,"")</f>
      </c>
      <c r="L130" s="382">
        <f t="shared" si="28"/>
      </c>
      <c r="M130" s="47">
        <f t="shared" si="29"/>
      </c>
      <c r="N130" s="494">
        <f>IF(OR(fundtype5_off=2,fundtype5_off=3),N$88/dos5_total_off,"")</f>
      </c>
      <c r="O130" s="381"/>
      <c r="P130" s="381"/>
      <c r="Q130" s="381"/>
      <c r="R130" s="381"/>
    </row>
    <row r="131" spans="8:18" ht="13.5" hidden="1" thickTop="1">
      <c r="H131" s="491">
        <v>6</v>
      </c>
      <c r="I131" s="492">
        <f>IF($K131="","",acct6_off)</f>
      </c>
      <c r="J131" s="382">
        <f>IF($K131="","",dos_1_off)</f>
      </c>
      <c r="K131" s="493">
        <f>IF(J$51&gt;0.01,J$51,"")</f>
      </c>
      <c r="L131" s="382">
        <f t="shared" si="28"/>
      </c>
      <c r="M131" s="47">
        <f t="shared" si="29"/>
      </c>
      <c r="N131" s="494">
        <f>IF(OR(fundtype6_off=2,fundtype6_off=3),J$89/dos1_total_off,"")</f>
      </c>
      <c r="O131" s="381"/>
      <c r="P131" s="381"/>
      <c r="Q131" s="381"/>
      <c r="R131" s="381"/>
    </row>
    <row r="132" spans="8:18" ht="13.5" hidden="1" thickTop="1">
      <c r="H132" s="491">
        <v>6</v>
      </c>
      <c r="I132" s="492">
        <f>IF($K132="","",acct6_off)</f>
      </c>
      <c r="J132" s="382">
        <f>IF($K132="","",dos_2_off)</f>
      </c>
      <c r="K132" s="493">
        <f>IF(K$51&gt;0.01,K$51,"")</f>
      </c>
      <c r="L132" s="382">
        <f t="shared" si="28"/>
      </c>
      <c r="M132" s="47">
        <f t="shared" si="29"/>
      </c>
      <c r="N132" s="494">
        <f>IF(OR(fundtype6_off=2,fundtype6_off=3),K$89/dos2_total_off,"")</f>
      </c>
      <c r="O132" s="381"/>
      <c r="P132" s="381"/>
      <c r="Q132" s="381"/>
      <c r="R132" s="381"/>
    </row>
    <row r="133" spans="8:18" ht="13.5" hidden="1" thickTop="1">
      <c r="H133" s="491">
        <v>6</v>
      </c>
      <c r="I133" s="492">
        <f>IF($K133="","",acct6_off)</f>
      </c>
      <c r="J133" s="382">
        <f>IF($K133="","",dos_3_off)</f>
      </c>
      <c r="K133" s="493">
        <f>IF(L$51&gt;0.01,L$51,"")</f>
      </c>
      <c r="L133" s="382">
        <f t="shared" si="28"/>
      </c>
      <c r="M133" s="47">
        <f t="shared" si="29"/>
      </c>
      <c r="N133" s="494">
        <f>IF(OR(fundtype6_off=2,fundtype6_off=3),L$89/dos3_total_off,"")</f>
      </c>
      <c r="O133" s="381"/>
      <c r="P133" s="381"/>
      <c r="Q133" s="381"/>
      <c r="R133" s="381"/>
    </row>
    <row r="134" spans="8:18" ht="13.5" hidden="1" thickTop="1">
      <c r="H134" s="491">
        <v>6</v>
      </c>
      <c r="I134" s="492">
        <f>IF($K134="","",acct6_off)</f>
      </c>
      <c r="J134" s="382">
        <f>IF($K134="","",dos_4_off)</f>
      </c>
      <c r="K134" s="493">
        <f>IF(M$51&gt;0.01,M$51,"")</f>
      </c>
      <c r="L134" s="382">
        <f t="shared" si="28"/>
      </c>
      <c r="M134" s="47">
        <f t="shared" si="29"/>
      </c>
      <c r="N134" s="494">
        <f>IF(OR(fundtype6_off=2,fundtype6_off=3),M$89/dos4_total_off,"")</f>
      </c>
      <c r="O134" s="381"/>
      <c r="P134" s="381"/>
      <c r="Q134" s="381"/>
      <c r="R134" s="381"/>
    </row>
    <row r="135" spans="8:18" ht="13.5" hidden="1" thickTop="1">
      <c r="H135" s="495">
        <v>6</v>
      </c>
      <c r="I135" s="492">
        <f>IF($K135="","",acct6_off)</f>
      </c>
      <c r="J135" s="382">
        <f>IF($K135="","",dos_5_off)</f>
      </c>
      <c r="K135" s="493">
        <f>IF(N$51&gt;0.01,N$51,"")</f>
      </c>
      <c r="L135" s="382">
        <f t="shared" si="28"/>
      </c>
      <c r="M135" s="47">
        <f t="shared" si="29"/>
      </c>
      <c r="N135" s="494">
        <f>IF(OR(fundtype6_off=2,fundtype6_off=3),N$89/dos5_total_off,"")</f>
      </c>
      <c r="O135" s="381"/>
      <c r="P135" s="381"/>
      <c r="Q135" s="381"/>
      <c r="R135" s="381"/>
    </row>
    <row r="136" spans="8:18" ht="13.5" hidden="1" thickTop="1">
      <c r="H136" s="491">
        <v>7</v>
      </c>
      <c r="I136" s="492">
        <f>IF($K136="","",acct7_off)</f>
      </c>
      <c r="J136" s="382">
        <f>IF($K136="","",dos_1_off)</f>
      </c>
      <c r="K136" s="493">
        <f>IF(J$52&gt;0.01,J$52,"")</f>
      </c>
      <c r="L136" s="382">
        <f t="shared" si="28"/>
      </c>
      <c r="M136" s="47">
        <f t="shared" si="29"/>
      </c>
      <c r="N136" s="494">
        <f>IF(OR(fundtype7_off=2,fundtype7_off=3),J$90/dos1_total_off,"")</f>
      </c>
      <c r="O136" s="381"/>
      <c r="P136" s="381"/>
      <c r="Q136" s="381"/>
      <c r="R136" s="381"/>
    </row>
    <row r="137" spans="8:18" ht="13.5" hidden="1" thickTop="1">
      <c r="H137" s="491">
        <v>7</v>
      </c>
      <c r="I137" s="492">
        <f>IF($K137="","",acct7_off)</f>
      </c>
      <c r="J137" s="382">
        <f>IF($K137="","",dos_2_off)</f>
      </c>
      <c r="K137" s="493">
        <f>IF(K$52&gt;0.01,K$52,"")</f>
      </c>
      <c r="L137" s="382">
        <f t="shared" si="28"/>
      </c>
      <c r="M137" s="47">
        <f t="shared" si="29"/>
      </c>
      <c r="N137" s="494">
        <f>IF(OR(fundtype7_off=2,fundtype7_off=3),K$90/dos2_total_off,"")</f>
      </c>
      <c r="O137" s="381"/>
      <c r="P137" s="381"/>
      <c r="Q137" s="381"/>
      <c r="R137" s="381"/>
    </row>
    <row r="138" spans="8:18" ht="13.5" hidden="1" thickTop="1">
      <c r="H138" s="491">
        <v>7</v>
      </c>
      <c r="I138" s="492">
        <f>IF($K138="","",acct7_off)</f>
      </c>
      <c r="J138" s="382">
        <f>IF($K138="","",dos_3_off)</f>
      </c>
      <c r="K138" s="493">
        <f>IF(L$52&gt;0.01,L$52,"")</f>
      </c>
      <c r="L138" s="382">
        <f t="shared" si="28"/>
      </c>
      <c r="M138" s="47">
        <f t="shared" si="29"/>
      </c>
      <c r="N138" s="494">
        <f>IF(OR(fundtype7_off=2,fundtype7_off=3),L$90/dos3_total_off,"")</f>
      </c>
      <c r="O138" s="381"/>
      <c r="P138" s="381"/>
      <c r="Q138" s="381"/>
      <c r="R138" s="381"/>
    </row>
    <row r="139" spans="8:18" ht="13.5" hidden="1" thickTop="1">
      <c r="H139" s="491">
        <v>7</v>
      </c>
      <c r="I139" s="492">
        <f>IF($K139="","",acct7_off)</f>
      </c>
      <c r="J139" s="382">
        <f>IF($K139="","",dos_4_off)</f>
      </c>
      <c r="K139" s="493">
        <f>IF(M$52&gt;0.01,M$52,"")</f>
      </c>
      <c r="L139" s="382">
        <f t="shared" si="28"/>
      </c>
      <c r="M139" s="47">
        <f t="shared" si="29"/>
      </c>
      <c r="N139" s="494">
        <f>IF(OR(fundtype7_off=2,fundtype7_off=3),M$90/dos4_total_off,"")</f>
      </c>
      <c r="O139" s="381"/>
      <c r="P139" s="381"/>
      <c r="Q139" s="381"/>
      <c r="R139" s="381"/>
    </row>
    <row r="140" spans="8:18" ht="13.5" hidden="1" thickTop="1">
      <c r="H140" s="495">
        <v>7</v>
      </c>
      <c r="I140" s="492">
        <f>IF($K140="","",acct7_off)</f>
      </c>
      <c r="J140" s="382">
        <f>IF($K140="","",dos_5_off)</f>
      </c>
      <c r="K140" s="493">
        <f>IF(N$52&gt;0.01,N$52,"")</f>
      </c>
      <c r="L140" s="382">
        <f t="shared" si="28"/>
      </c>
      <c r="M140" s="47">
        <f t="shared" si="29"/>
      </c>
      <c r="N140" s="494">
        <f>IF(OR(fundtype7_off=2,fundtype7_off=3),N$90/dos5_total_off,"")</f>
      </c>
      <c r="O140" s="381"/>
      <c r="P140" s="381"/>
      <c r="Q140" s="381"/>
      <c r="R140" s="381"/>
    </row>
    <row r="141" spans="8:18" ht="13.5" hidden="1" thickTop="1">
      <c r="H141" s="491">
        <v>8</v>
      </c>
      <c r="I141" s="492">
        <f>IF($K141="","",acct8_off)</f>
      </c>
      <c r="J141" s="382">
        <f>IF($K141="","",dos_1_off)</f>
      </c>
      <c r="K141" s="493">
        <f>IF(J$53&gt;0.01,J$53,"")</f>
      </c>
      <c r="L141" s="382">
        <f t="shared" si="28"/>
      </c>
      <c r="M141" s="47">
        <f t="shared" si="29"/>
      </c>
      <c r="N141" s="494">
        <f>IF(OR(fundtype8_off=2,fundtype8_off=3),J$91/dos1_total_off,"")</f>
      </c>
      <c r="O141" s="381"/>
      <c r="P141" s="381"/>
      <c r="Q141" s="381"/>
      <c r="R141" s="381"/>
    </row>
    <row r="142" spans="8:18" ht="13.5" hidden="1" thickTop="1">
      <c r="H142" s="491">
        <v>8</v>
      </c>
      <c r="I142" s="492">
        <f>IF($K142="","",acct8_off)</f>
      </c>
      <c r="J142" s="382">
        <f>IF($K142="","",dos_2_off)</f>
      </c>
      <c r="K142" s="493">
        <f>IF(K$53&gt;0.01,K$53,"")</f>
      </c>
      <c r="L142" s="382">
        <f t="shared" si="28"/>
      </c>
      <c r="M142" s="47">
        <f t="shared" si="29"/>
      </c>
      <c r="N142" s="494">
        <f>IF(OR(fundtype8_off=2,fundtype8_off=3),K$91/dos2_total_off,"")</f>
      </c>
      <c r="O142" s="381"/>
      <c r="P142" s="381"/>
      <c r="Q142" s="381"/>
      <c r="R142" s="381"/>
    </row>
    <row r="143" spans="8:18" ht="13.5" hidden="1" thickTop="1">
      <c r="H143" s="491">
        <v>8</v>
      </c>
      <c r="I143" s="492">
        <f>IF($K143="","",acct8_off)</f>
      </c>
      <c r="J143" s="382">
        <f>IF($K143="","",dos_3_off)</f>
      </c>
      <c r="K143" s="493">
        <f>IF(L$53&gt;0.01,L$53,"")</f>
      </c>
      <c r="L143" s="382">
        <f t="shared" si="28"/>
      </c>
      <c r="M143" s="47">
        <f t="shared" si="29"/>
      </c>
      <c r="N143" s="494">
        <f>IF(OR(fundtype8_off=2,fundtype8_off=3),L$91/dos3_total_off,"")</f>
      </c>
      <c r="O143" s="381"/>
      <c r="P143" s="381"/>
      <c r="Q143" s="381"/>
      <c r="R143" s="381"/>
    </row>
    <row r="144" spans="8:18" ht="13.5" hidden="1" thickTop="1">
      <c r="H144" s="491">
        <v>8</v>
      </c>
      <c r="I144" s="492">
        <f>IF($K144="","",acct8_off)</f>
      </c>
      <c r="J144" s="382">
        <f>IF($K144="","",dos_4_off)</f>
      </c>
      <c r="K144" s="493">
        <f>IF(M$53&gt;0.01,M$53,"")</f>
      </c>
      <c r="L144" s="382">
        <f t="shared" si="28"/>
      </c>
      <c r="M144" s="47">
        <f t="shared" si="29"/>
      </c>
      <c r="N144" s="494">
        <f>IF(OR(fundtype8_off=2,fundtype8_off=3),M$91/dos4_total_off,"")</f>
      </c>
      <c r="O144" s="381"/>
      <c r="P144" s="381"/>
      <c r="Q144" s="381"/>
      <c r="R144" s="381"/>
    </row>
    <row r="145" spans="8:18" ht="13.5" hidden="1" thickTop="1">
      <c r="H145" s="495">
        <v>8</v>
      </c>
      <c r="I145" s="492">
        <f>IF($K145="","",acct8_off)</f>
      </c>
      <c r="J145" s="382">
        <f>IF($K145="","",dos_5_off)</f>
      </c>
      <c r="K145" s="493">
        <f>IF(N$53&gt;0.01,N$53,"")</f>
      </c>
      <c r="L145" s="382">
        <f t="shared" si="28"/>
      </c>
      <c r="M145" s="47">
        <f t="shared" si="29"/>
      </c>
      <c r="N145" s="494">
        <f>IF(OR(fundtype8_off=2,fundtype8_off=3),N$91/dos5_total_off,"")</f>
      </c>
      <c r="O145" s="381"/>
      <c r="P145" s="381"/>
      <c r="Q145" s="381"/>
      <c r="R145" s="381"/>
    </row>
    <row r="146" spans="8:18" ht="13.5" hidden="1" thickTop="1">
      <c r="H146" s="491">
        <v>9</v>
      </c>
      <c r="I146" s="492">
        <f>IF($K146="","",acct9_off)</f>
      </c>
      <c r="J146" s="382">
        <f>IF($K146="","",dos_1_off)</f>
      </c>
      <c r="K146" s="493">
        <f>IF(J$54&gt;0.01,J$54,"")</f>
      </c>
      <c r="L146" s="382">
        <f t="shared" si="28"/>
      </c>
      <c r="M146" s="47">
        <f t="shared" si="29"/>
      </c>
      <c r="N146" s="494">
        <f>IF(OR(fundtype9_off=2,fundtype9_off=3),J$92/dos1_total_off,"")</f>
      </c>
      <c r="O146" s="381"/>
      <c r="P146" s="381"/>
      <c r="Q146" s="381"/>
      <c r="R146" s="381"/>
    </row>
    <row r="147" spans="8:18" ht="13.5" hidden="1" thickTop="1">
      <c r="H147" s="491">
        <v>9</v>
      </c>
      <c r="I147" s="492">
        <f>IF($K147="","",acct9_off)</f>
      </c>
      <c r="J147" s="382">
        <f>IF($K147="","",dos_2_off)</f>
      </c>
      <c r="K147" s="493">
        <f>IF(K$54&gt;0.01,K$54,"")</f>
      </c>
      <c r="L147" s="382">
        <f t="shared" si="28"/>
      </c>
      <c r="M147" s="47">
        <f t="shared" si="29"/>
      </c>
      <c r="N147" s="494">
        <f>IF(OR(fundtype9_off=2,fundtype9_off=3),K$92/dos2_total_off,"")</f>
      </c>
      <c r="O147" s="381"/>
      <c r="P147" s="381"/>
      <c r="Q147" s="381"/>
      <c r="R147" s="381"/>
    </row>
    <row r="148" spans="8:18" ht="13.5" hidden="1" thickTop="1">
      <c r="H148" s="491">
        <v>9</v>
      </c>
      <c r="I148" s="492">
        <f>IF($K148="","",acct9_off)</f>
      </c>
      <c r="J148" s="382">
        <f>IF($K148="","",dos_3_off)</f>
      </c>
      <c r="K148" s="493">
        <f>IF(L$54&gt;0.01,L$54,"")</f>
      </c>
      <c r="L148" s="382">
        <f t="shared" si="28"/>
      </c>
      <c r="M148" s="47">
        <f t="shared" si="29"/>
      </c>
      <c r="N148" s="494">
        <f>IF(OR(fundtype9_off=2,fundtype9_off=3),L$92/dos3_total_off,"")</f>
      </c>
      <c r="O148" s="381"/>
      <c r="P148" s="381"/>
      <c r="Q148" s="381"/>
      <c r="R148" s="381"/>
    </row>
    <row r="149" spans="8:18" ht="13.5" hidden="1" thickTop="1">
      <c r="H149" s="491">
        <v>9</v>
      </c>
      <c r="I149" s="492">
        <f>IF($K149="","",acct9_off)</f>
      </c>
      <c r="J149" s="382">
        <f>IF($K149="","",dos_4_off)</f>
      </c>
      <c r="K149" s="493">
        <f>IF(M$54&gt;0.01,M$54,"")</f>
      </c>
      <c r="L149" s="382">
        <f t="shared" si="28"/>
      </c>
      <c r="M149" s="47">
        <f t="shared" si="29"/>
      </c>
      <c r="N149" s="494">
        <f>IF(OR(fundtype9_off=2,fundtype9_off=3),M$92/dos4_total_off,"")</f>
      </c>
      <c r="O149" s="381"/>
      <c r="P149" s="381"/>
      <c r="Q149" s="381"/>
      <c r="R149" s="381"/>
    </row>
    <row r="150" spans="8:18" ht="13.5" hidden="1" thickTop="1">
      <c r="H150" s="495">
        <v>9</v>
      </c>
      <c r="I150" s="492">
        <f>IF($K150="","",acct9_off)</f>
      </c>
      <c r="J150" s="382">
        <f>IF($K150="","",dos_5_off)</f>
      </c>
      <c r="K150" s="493">
        <f>IF(N$54&gt;0.01,N$54,"")</f>
      </c>
      <c r="L150" s="382">
        <f t="shared" si="28"/>
      </c>
      <c r="M150" s="47">
        <f t="shared" si="29"/>
      </c>
      <c r="N150" s="494">
        <f>IF(OR(fundtype9_off=2,fundtype9_off=3),N$92/dos5_total_off,"")</f>
      </c>
      <c r="O150" s="381"/>
      <c r="P150" s="381"/>
      <c r="Q150" s="381"/>
      <c r="R150" s="381"/>
    </row>
    <row r="151" spans="8:18" ht="13.5" hidden="1" thickTop="1">
      <c r="H151" s="381"/>
      <c r="I151" s="381"/>
      <c r="J151" s="381"/>
      <c r="K151" s="381"/>
      <c r="L151" s="381"/>
      <c r="M151" s="381"/>
      <c r="N151" s="381"/>
      <c r="O151" s="381"/>
      <c r="P151" s="381"/>
      <c r="Q151" s="381"/>
      <c r="R151" s="381"/>
    </row>
    <row r="152" spans="8:18" ht="13.5" hidden="1" thickTop="1">
      <c r="H152" s="381"/>
      <c r="I152" s="381"/>
      <c r="J152" s="381"/>
      <c r="K152" s="381"/>
      <c r="L152" s="381"/>
      <c r="M152" s="381"/>
      <c r="N152" s="381"/>
      <c r="O152" s="381"/>
      <c r="P152" s="381"/>
      <c r="Q152" s="381"/>
      <c r="R152" s="381"/>
    </row>
    <row r="153" spans="8:18" ht="13.5" hidden="1" thickTop="1">
      <c r="H153" s="381"/>
      <c r="I153" s="381"/>
      <c r="J153" s="381"/>
      <c r="K153" s="381"/>
      <c r="L153" s="381"/>
      <c r="M153" s="381"/>
      <c r="N153" s="381"/>
      <c r="O153" s="381"/>
      <c r="P153" s="381"/>
      <c r="Q153" s="381"/>
      <c r="R153" s="381"/>
    </row>
    <row r="154" spans="8:18" ht="13.5" hidden="1" thickTop="1">
      <c r="H154" s="381"/>
      <c r="I154" s="381"/>
      <c r="J154" s="381"/>
      <c r="K154" s="381"/>
      <c r="L154" s="381"/>
      <c r="M154" s="381"/>
      <c r="N154" s="381"/>
      <c r="O154" s="381"/>
      <c r="P154" s="381"/>
      <c r="Q154" s="381"/>
      <c r="R154" s="381"/>
    </row>
    <row r="155" spans="8:18" ht="13.5" hidden="1" thickTop="1">
      <c r="H155" s="381"/>
      <c r="I155" s="381"/>
      <c r="J155" s="381"/>
      <c r="K155" s="381"/>
      <c r="L155" s="381"/>
      <c r="M155" s="381"/>
      <c r="N155" s="381"/>
      <c r="O155" s="381"/>
      <c r="P155" s="381"/>
      <c r="Q155" s="381"/>
      <c r="R155" s="381"/>
    </row>
    <row r="156" spans="8:18" ht="13.5" hidden="1" thickTop="1">
      <c r="H156" s="381"/>
      <c r="I156" s="381"/>
      <c r="J156" s="381"/>
      <c r="K156" s="381"/>
      <c r="L156" s="381"/>
      <c r="M156" s="381"/>
      <c r="N156" s="381"/>
      <c r="O156" s="381"/>
      <c r="P156" s="381"/>
      <c r="Q156" s="381"/>
      <c r="R156" s="381"/>
    </row>
    <row r="157" spans="8:18" ht="13.5" hidden="1" thickTop="1">
      <c r="H157" s="381"/>
      <c r="I157" s="381"/>
      <c r="J157" s="381"/>
      <c r="K157" s="381"/>
      <c r="L157" s="381"/>
      <c r="M157" s="381"/>
      <c r="N157" s="381"/>
      <c r="O157" s="381"/>
      <c r="P157" s="381"/>
      <c r="Q157" s="381"/>
      <c r="R157" s="381"/>
    </row>
    <row r="158" spans="8:18" ht="13.5" hidden="1" thickTop="1">
      <c r="H158" s="381"/>
      <c r="I158" s="381"/>
      <c r="J158" s="381"/>
      <c r="K158" s="381"/>
      <c r="L158" s="381"/>
      <c r="M158" s="381"/>
      <c r="N158" s="381"/>
      <c r="O158" s="381"/>
      <c r="P158" s="381"/>
      <c r="Q158" s="381"/>
      <c r="R158" s="381"/>
    </row>
    <row r="159" spans="8:18" ht="13.5" hidden="1" thickTop="1">
      <c r="H159" s="381"/>
      <c r="I159" s="381"/>
      <c r="J159" s="381"/>
      <c r="K159" s="381"/>
      <c r="L159" s="381"/>
      <c r="M159" s="381"/>
      <c r="N159" s="381"/>
      <c r="O159" s="381"/>
      <c r="P159" s="381"/>
      <c r="Q159" s="381"/>
      <c r="R159" s="381"/>
    </row>
    <row r="160" spans="8:18" ht="13.5" hidden="1" thickTop="1">
      <c r="H160" s="381"/>
      <c r="I160" s="381"/>
      <c r="J160" s="381"/>
      <c r="K160" s="381"/>
      <c r="L160" s="381"/>
      <c r="M160" s="381"/>
      <c r="N160" s="381"/>
      <c r="O160" s="381"/>
      <c r="P160" s="381"/>
      <c r="Q160" s="381"/>
      <c r="R160" s="381"/>
    </row>
    <row r="161" spans="8:18" ht="13.5" hidden="1" thickTop="1">
      <c r="H161" s="381"/>
      <c r="I161" s="381"/>
      <c r="J161" s="381"/>
      <c r="K161" s="381"/>
      <c r="L161" s="381"/>
      <c r="M161" s="381"/>
      <c r="N161" s="381"/>
      <c r="O161" s="381"/>
      <c r="P161" s="381"/>
      <c r="Q161" s="381"/>
      <c r="R161" s="381"/>
    </row>
    <row r="162" spans="8:18" ht="13.5" hidden="1" thickTop="1">
      <c r="H162" s="381"/>
      <c r="I162" s="381"/>
      <c r="J162" s="381"/>
      <c r="K162" s="381"/>
      <c r="L162" s="381"/>
      <c r="M162" s="381"/>
      <c r="N162" s="381"/>
      <c r="O162" s="381"/>
      <c r="P162" s="381"/>
      <c r="Q162" s="381"/>
      <c r="R162" s="381"/>
    </row>
    <row r="163" spans="8:18" ht="13.5" hidden="1" thickTop="1">
      <c r="H163" s="381"/>
      <c r="I163" s="381"/>
      <c r="J163" s="381"/>
      <c r="K163" s="381"/>
      <c r="L163" s="381"/>
      <c r="M163" s="381"/>
      <c r="N163" s="381"/>
      <c r="O163" s="381"/>
      <c r="P163" s="381"/>
      <c r="Q163" s="381"/>
      <c r="R163" s="381"/>
    </row>
    <row r="164" spans="8:18" ht="13.5" hidden="1" thickTop="1">
      <c r="H164" s="381"/>
      <c r="I164" s="381"/>
      <c r="J164" s="381"/>
      <c r="K164" s="381"/>
      <c r="L164" s="381"/>
      <c r="M164" s="381"/>
      <c r="N164" s="381"/>
      <c r="O164" s="381"/>
      <c r="P164" s="381"/>
      <c r="Q164" s="381"/>
      <c r="R164" s="381"/>
    </row>
    <row r="165" spans="8:18" ht="13.5" hidden="1" thickTop="1">
      <c r="H165" s="381"/>
      <c r="I165" s="381"/>
      <c r="J165" s="381"/>
      <c r="K165" s="381"/>
      <c r="L165" s="381"/>
      <c r="M165" s="381"/>
      <c r="N165" s="381"/>
      <c r="O165" s="381"/>
      <c r="P165" s="381"/>
      <c r="Q165" s="381"/>
      <c r="R165" s="381"/>
    </row>
    <row r="166" spans="8:18" ht="13.5" hidden="1" thickTop="1">
      <c r="H166" s="381"/>
      <c r="I166" s="381"/>
      <c r="J166" s="381"/>
      <c r="K166" s="381"/>
      <c r="L166" s="381"/>
      <c r="M166" s="381"/>
      <c r="N166" s="381"/>
      <c r="O166" s="381"/>
      <c r="P166" s="381"/>
      <c r="Q166" s="381"/>
      <c r="R166" s="381"/>
    </row>
    <row r="167" spans="8:18" ht="13.5" hidden="1" thickTop="1">
      <c r="H167" s="381"/>
      <c r="I167" s="381"/>
      <c r="J167" s="381"/>
      <c r="K167" s="381"/>
      <c r="L167" s="381"/>
      <c r="M167" s="381"/>
      <c r="N167" s="381"/>
      <c r="O167" s="381"/>
      <c r="P167" s="381"/>
      <c r="Q167" s="381"/>
      <c r="R167" s="381"/>
    </row>
    <row r="168" spans="8:18" ht="13.5" hidden="1" thickTop="1">
      <c r="H168" s="381"/>
      <c r="I168" s="381"/>
      <c r="J168" s="381"/>
      <c r="K168" s="381"/>
      <c r="L168" s="381"/>
      <c r="M168" s="381"/>
      <c r="N168" s="381"/>
      <c r="O168" s="381"/>
      <c r="P168" s="381"/>
      <c r="Q168" s="381"/>
      <c r="R168" s="381"/>
    </row>
    <row r="169" spans="8:18" ht="13.5" hidden="1" thickTop="1">
      <c r="H169" s="381"/>
      <c r="I169" s="381"/>
      <c r="J169" s="381"/>
      <c r="K169" s="381"/>
      <c r="L169" s="381"/>
      <c r="M169" s="381"/>
      <c r="N169" s="381"/>
      <c r="O169" s="381"/>
      <c r="P169" s="381"/>
      <c r="Q169" s="381"/>
      <c r="R169" s="381"/>
    </row>
    <row r="170" spans="8:18" ht="13.5" hidden="1" thickTop="1">
      <c r="H170" s="381"/>
      <c r="I170" s="381"/>
      <c r="J170" s="381"/>
      <c r="K170" s="381"/>
      <c r="L170" s="381"/>
      <c r="M170" s="381"/>
      <c r="N170" s="381"/>
      <c r="O170" s="381"/>
      <c r="P170" s="381"/>
      <c r="Q170" s="381"/>
      <c r="R170" s="381"/>
    </row>
    <row r="171" spans="8:18" ht="13.5" hidden="1" thickTop="1">
      <c r="H171" s="381"/>
      <c r="I171" s="381"/>
      <c r="J171" s="381"/>
      <c r="K171" s="381"/>
      <c r="L171" s="381"/>
      <c r="M171" s="381"/>
      <c r="N171" s="381"/>
      <c r="O171" s="381"/>
      <c r="P171" s="381"/>
      <c r="Q171" s="381"/>
      <c r="R171" s="381"/>
    </row>
    <row r="172" spans="8:18" ht="13.5" hidden="1" thickTop="1">
      <c r="H172" s="381"/>
      <c r="I172" s="381"/>
      <c r="J172" s="381"/>
      <c r="K172" s="381"/>
      <c r="L172" s="381"/>
      <c r="M172" s="381"/>
      <c r="N172" s="381"/>
      <c r="O172" s="381"/>
      <c r="P172" s="381"/>
      <c r="Q172" s="381"/>
      <c r="R172" s="381"/>
    </row>
    <row r="173" spans="8:18" ht="13.5" hidden="1" thickTop="1">
      <c r="H173" s="381"/>
      <c r="I173" s="381"/>
      <c r="J173" s="381"/>
      <c r="K173" s="381"/>
      <c r="L173" s="381"/>
      <c r="M173" s="381"/>
      <c r="N173" s="381"/>
      <c r="O173" s="381"/>
      <c r="P173" s="381"/>
      <c r="Q173" s="381"/>
      <c r="R173" s="381"/>
    </row>
    <row r="174" spans="8:18" ht="13.5" hidden="1" thickTop="1">
      <c r="H174" s="381"/>
      <c r="I174" s="381"/>
      <c r="J174" s="381"/>
      <c r="K174" s="381"/>
      <c r="L174" s="381"/>
      <c r="M174" s="381"/>
      <c r="N174" s="381"/>
      <c r="O174" s="381"/>
      <c r="P174" s="381"/>
      <c r="Q174" s="381"/>
      <c r="R174" s="381"/>
    </row>
    <row r="175" spans="8:18" ht="13.5" hidden="1" thickTop="1">
      <c r="H175" s="381"/>
      <c r="I175" s="381"/>
      <c r="J175" s="381"/>
      <c r="K175" s="381"/>
      <c r="L175" s="381"/>
      <c r="M175" s="381"/>
      <c r="N175" s="381"/>
      <c r="O175" s="381"/>
      <c r="P175" s="381"/>
      <c r="Q175" s="381"/>
      <c r="R175" s="381"/>
    </row>
    <row r="176" spans="8:18" ht="13.5" hidden="1" thickTop="1">
      <c r="H176" s="381"/>
      <c r="I176" s="381"/>
      <c r="J176" s="381"/>
      <c r="K176" s="381"/>
      <c r="L176" s="381"/>
      <c r="M176" s="381"/>
      <c r="N176" s="381"/>
      <c r="O176" s="381"/>
      <c r="P176" s="381"/>
      <c r="Q176" s="381"/>
      <c r="R176" s="381"/>
    </row>
    <row r="177" spans="8:18" ht="13.5" hidden="1" thickTop="1">
      <c r="H177" s="381"/>
      <c r="I177" s="381"/>
      <c r="J177" s="381"/>
      <c r="K177" s="381"/>
      <c r="L177" s="381"/>
      <c r="M177" s="381"/>
      <c r="N177" s="381"/>
      <c r="O177" s="381"/>
      <c r="P177" s="381"/>
      <c r="Q177" s="381"/>
      <c r="R177" s="381"/>
    </row>
    <row r="178" spans="8:18" ht="13.5" hidden="1" thickTop="1">
      <c r="H178" s="381"/>
      <c r="I178" s="381"/>
      <c r="J178" s="381"/>
      <c r="K178" s="381"/>
      <c r="L178" s="381"/>
      <c r="M178" s="381"/>
      <c r="N178" s="381"/>
      <c r="O178" s="381"/>
      <c r="P178" s="381"/>
      <c r="Q178" s="381"/>
      <c r="R178" s="381"/>
    </row>
    <row r="179" spans="8:18" ht="13.5" hidden="1" thickTop="1">
      <c r="H179" s="381"/>
      <c r="I179" s="381"/>
      <c r="J179" s="381"/>
      <c r="K179" s="381"/>
      <c r="L179" s="381"/>
      <c r="M179" s="381"/>
      <c r="N179" s="381"/>
      <c r="O179" s="381"/>
      <c r="P179" s="381"/>
      <c r="Q179" s="381"/>
      <c r="R179" s="381"/>
    </row>
    <row r="180" spans="8:18" ht="13.5" hidden="1" thickTop="1">
      <c r="H180" s="381"/>
      <c r="I180" s="381"/>
      <c r="J180" s="381"/>
      <c r="K180" s="381"/>
      <c r="L180" s="381"/>
      <c r="M180" s="381"/>
      <c r="N180" s="381"/>
      <c r="O180" s="381"/>
      <c r="P180" s="381"/>
      <c r="Q180" s="381"/>
      <c r="R180" s="381"/>
    </row>
    <row r="181" spans="8:18" ht="13.5" hidden="1" thickTop="1">
      <c r="H181" s="381"/>
      <c r="I181" s="381"/>
      <c r="J181" s="381"/>
      <c r="K181" s="381"/>
      <c r="L181" s="381"/>
      <c r="M181" s="381"/>
      <c r="N181" s="381"/>
      <c r="O181" s="381"/>
      <c r="P181" s="381"/>
      <c r="Q181" s="381"/>
      <c r="R181" s="381"/>
    </row>
    <row r="182" spans="8:18" ht="13.5" hidden="1" thickTop="1">
      <c r="H182" s="381"/>
      <c r="I182" s="381"/>
      <c r="J182" s="381"/>
      <c r="K182" s="381"/>
      <c r="L182" s="381"/>
      <c r="M182" s="381"/>
      <c r="N182" s="381"/>
      <c r="O182" s="381"/>
      <c r="P182" s="381"/>
      <c r="Q182" s="381"/>
      <c r="R182" s="381"/>
    </row>
    <row r="183" spans="8:18" ht="13.5" hidden="1" thickTop="1">
      <c r="H183" s="381"/>
      <c r="I183" s="381"/>
      <c r="J183" s="381"/>
      <c r="K183" s="381"/>
      <c r="L183" s="381"/>
      <c r="M183" s="381"/>
      <c r="N183" s="381"/>
      <c r="O183" s="381"/>
      <c r="P183" s="381"/>
      <c r="Q183" s="381"/>
      <c r="R183" s="381"/>
    </row>
    <row r="184" spans="8:18" ht="13.5" hidden="1" thickTop="1">
      <c r="H184" s="381"/>
      <c r="I184" s="381"/>
      <c r="J184" s="381"/>
      <c r="K184" s="381"/>
      <c r="L184" s="381"/>
      <c r="M184" s="381"/>
      <c r="N184" s="381"/>
      <c r="O184" s="381"/>
      <c r="P184" s="381"/>
      <c r="Q184" s="381"/>
      <c r="R184" s="381"/>
    </row>
    <row r="185" spans="8:18" ht="13.5" hidden="1" thickTop="1">
      <c r="H185" s="381"/>
      <c r="I185" s="381"/>
      <c r="J185" s="381"/>
      <c r="K185" s="381"/>
      <c r="L185" s="381"/>
      <c r="M185" s="381"/>
      <c r="N185" s="381"/>
      <c r="O185" s="381"/>
      <c r="P185" s="381"/>
      <c r="Q185" s="381"/>
      <c r="R185" s="381"/>
    </row>
    <row r="186" spans="8:18" ht="13.5" hidden="1" thickTop="1">
      <c r="H186" s="381"/>
      <c r="I186" s="381"/>
      <c r="J186" s="381"/>
      <c r="K186" s="381"/>
      <c r="L186" s="381"/>
      <c r="M186" s="381"/>
      <c r="N186" s="381"/>
      <c r="O186" s="381"/>
      <c r="P186" s="381"/>
      <c r="Q186" s="381"/>
      <c r="R186" s="381"/>
    </row>
    <row r="187" spans="8:18" ht="13.5" hidden="1" thickTop="1">
      <c r="H187" s="381"/>
      <c r="I187" s="381"/>
      <c r="J187" s="381"/>
      <c r="K187" s="381"/>
      <c r="L187" s="381"/>
      <c r="M187" s="381"/>
      <c r="N187" s="381"/>
      <c r="O187" s="381"/>
      <c r="P187" s="381"/>
      <c r="Q187" s="381"/>
      <c r="R187" s="381"/>
    </row>
    <row r="188" spans="8:18" ht="13.5" hidden="1" thickTop="1">
      <c r="H188" s="381"/>
      <c r="I188" s="381"/>
      <c r="J188" s="381"/>
      <c r="K188" s="381"/>
      <c r="L188" s="381"/>
      <c r="M188" s="381"/>
      <c r="N188" s="381"/>
      <c r="O188" s="381"/>
      <c r="P188" s="381"/>
      <c r="Q188" s="381"/>
      <c r="R188" s="381"/>
    </row>
    <row r="189" spans="8:18" ht="13.5" hidden="1" thickTop="1">
      <c r="H189" s="381"/>
      <c r="I189" s="381"/>
      <c r="J189" s="381"/>
      <c r="K189" s="381"/>
      <c r="L189" s="381"/>
      <c r="M189" s="381"/>
      <c r="N189" s="381"/>
      <c r="O189" s="381"/>
      <c r="P189" s="381"/>
      <c r="Q189" s="381"/>
      <c r="R189" s="381"/>
    </row>
    <row r="190" spans="8:18" ht="13.5" hidden="1" thickTop="1">
      <c r="H190" s="381"/>
      <c r="I190" s="381"/>
      <c r="J190" s="381"/>
      <c r="K190" s="381"/>
      <c r="L190" s="381"/>
      <c r="M190" s="381"/>
      <c r="N190" s="381"/>
      <c r="O190" s="381"/>
      <c r="P190" s="381"/>
      <c r="Q190" s="381"/>
      <c r="R190" s="381"/>
    </row>
    <row r="191" spans="8:18" ht="13.5" hidden="1" thickTop="1">
      <c r="H191" s="381"/>
      <c r="I191" s="381"/>
      <c r="J191" s="381"/>
      <c r="K191" s="381"/>
      <c r="L191" s="381"/>
      <c r="M191" s="381"/>
      <c r="N191" s="381"/>
      <c r="O191" s="381"/>
      <c r="P191" s="381"/>
      <c r="Q191" s="381"/>
      <c r="R191" s="381"/>
    </row>
    <row r="192" spans="8:18" ht="13.5" hidden="1" thickTop="1">
      <c r="H192" s="381"/>
      <c r="I192" s="381"/>
      <c r="J192" s="381"/>
      <c r="K192" s="381"/>
      <c r="L192" s="381"/>
      <c r="M192" s="381"/>
      <c r="N192" s="381"/>
      <c r="O192" s="381"/>
      <c r="P192" s="381"/>
      <c r="Q192" s="381"/>
      <c r="R192" s="381"/>
    </row>
    <row r="193" spans="8:18" ht="13.5" hidden="1" thickTop="1">
      <c r="H193" s="381"/>
      <c r="I193" s="381"/>
      <c r="J193" s="381"/>
      <c r="K193" s="381"/>
      <c r="L193" s="381"/>
      <c r="M193" s="381"/>
      <c r="N193" s="381"/>
      <c r="O193" s="381"/>
      <c r="P193" s="381"/>
      <c r="Q193" s="381"/>
      <c r="R193" s="381"/>
    </row>
    <row r="194" spans="8:18" ht="13.5" hidden="1" thickTop="1">
      <c r="H194" s="381"/>
      <c r="I194" s="381"/>
      <c r="J194" s="381"/>
      <c r="K194" s="381"/>
      <c r="L194" s="381"/>
      <c r="M194" s="381"/>
      <c r="N194" s="381"/>
      <c r="O194" s="381"/>
      <c r="P194" s="381"/>
      <c r="Q194" s="381"/>
      <c r="R194" s="381"/>
    </row>
    <row r="195" spans="8:18" ht="13.5" hidden="1" thickTop="1">
      <c r="H195" s="381"/>
      <c r="I195" s="381"/>
      <c r="J195" s="381"/>
      <c r="K195" s="381"/>
      <c r="L195" s="381"/>
      <c r="M195" s="381"/>
      <c r="N195" s="381"/>
      <c r="O195" s="381"/>
      <c r="P195" s="381"/>
      <c r="Q195" s="381"/>
      <c r="R195" s="381"/>
    </row>
    <row r="196" spans="8:18" ht="13.5" hidden="1" thickTop="1">
      <c r="H196" s="381"/>
      <c r="I196" s="381"/>
      <c r="J196" s="381"/>
      <c r="K196" s="381"/>
      <c r="L196" s="381"/>
      <c r="M196" s="381"/>
      <c r="N196" s="381"/>
      <c r="O196" s="381"/>
      <c r="P196" s="381"/>
      <c r="Q196" s="381"/>
      <c r="R196" s="381"/>
    </row>
    <row r="197" spans="8:18" ht="13.5" hidden="1" thickTop="1">
      <c r="H197" s="381"/>
      <c r="I197" s="381"/>
      <c r="J197" s="381"/>
      <c r="K197" s="381"/>
      <c r="L197" s="381"/>
      <c r="M197" s="381"/>
      <c r="N197" s="381"/>
      <c r="O197" s="381"/>
      <c r="P197" s="381"/>
      <c r="Q197" s="381"/>
      <c r="R197" s="381"/>
    </row>
    <row r="198" spans="8:18" ht="13.5" hidden="1" thickTop="1">
      <c r="H198" s="381"/>
      <c r="I198" s="381"/>
      <c r="J198" s="381"/>
      <c r="K198" s="381"/>
      <c r="L198" s="381"/>
      <c r="M198" s="381"/>
      <c r="N198" s="381"/>
      <c r="O198" s="381"/>
      <c r="P198" s="381"/>
      <c r="Q198" s="381"/>
      <c r="R198" s="381"/>
    </row>
    <row r="199" spans="8:18" ht="13.5" hidden="1" thickTop="1">
      <c r="H199" s="381"/>
      <c r="I199" s="381"/>
      <c r="J199" s="381"/>
      <c r="K199" s="381"/>
      <c r="L199" s="381"/>
      <c r="M199" s="381"/>
      <c r="N199" s="381"/>
      <c r="O199" s="381"/>
      <c r="P199" s="381"/>
      <c r="Q199" s="381"/>
      <c r="R199" s="381"/>
    </row>
    <row r="200" spans="8:18" ht="13.5" hidden="1" thickTop="1">
      <c r="H200" s="381"/>
      <c r="I200" s="381"/>
      <c r="J200" s="381"/>
      <c r="K200" s="381"/>
      <c r="L200" s="381"/>
      <c r="M200" s="381"/>
      <c r="N200" s="381"/>
      <c r="O200" s="381"/>
      <c r="P200" s="381"/>
      <c r="Q200" s="381"/>
      <c r="R200" s="381"/>
    </row>
    <row r="201" spans="8:18" ht="13.5" hidden="1" thickTop="1">
      <c r="H201" s="381"/>
      <c r="I201" s="381"/>
      <c r="J201" s="381"/>
      <c r="K201" s="381"/>
      <c r="L201" s="381"/>
      <c r="M201" s="381"/>
      <c r="N201" s="381"/>
      <c r="O201" s="381"/>
      <c r="P201" s="381"/>
      <c r="Q201" s="381"/>
      <c r="R201" s="381"/>
    </row>
    <row r="202" spans="8:18" ht="13.5" hidden="1" thickTop="1">
      <c r="H202" s="381"/>
      <c r="I202" s="381"/>
      <c r="J202" s="381"/>
      <c r="K202" s="381"/>
      <c r="L202" s="381"/>
      <c r="M202" s="381"/>
      <c r="N202" s="381"/>
      <c r="O202" s="381"/>
      <c r="P202" s="381"/>
      <c r="Q202" s="381"/>
      <c r="R202" s="381"/>
    </row>
    <row r="203" spans="8:18" ht="13.5" hidden="1" thickTop="1">
      <c r="H203" s="381"/>
      <c r="I203" s="381"/>
      <c r="J203" s="381"/>
      <c r="K203" s="381"/>
      <c r="L203" s="381"/>
      <c r="M203" s="381"/>
      <c r="N203" s="381"/>
      <c r="O203" s="381"/>
      <c r="P203" s="381"/>
      <c r="Q203" s="381"/>
      <c r="R203" s="381"/>
    </row>
    <row r="204" spans="8:18" ht="13.5" hidden="1" thickTop="1">
      <c r="H204" s="381"/>
      <c r="I204" s="381"/>
      <c r="J204" s="381"/>
      <c r="K204" s="381"/>
      <c r="L204" s="381"/>
      <c r="M204" s="381"/>
      <c r="N204" s="381"/>
      <c r="O204" s="381"/>
      <c r="P204" s="381"/>
      <c r="Q204" s="381"/>
      <c r="R204" s="381"/>
    </row>
    <row r="205" spans="8:18" ht="13.5" hidden="1" thickTop="1">
      <c r="H205" s="381"/>
      <c r="I205" s="381"/>
      <c r="J205" s="381"/>
      <c r="K205" s="381"/>
      <c r="L205" s="381"/>
      <c r="M205" s="381"/>
      <c r="N205" s="381"/>
      <c r="O205" s="381"/>
      <c r="P205" s="381"/>
      <c r="Q205" s="381"/>
      <c r="R205" s="381"/>
    </row>
    <row r="206" spans="8:18" ht="13.5" hidden="1" thickTop="1">
      <c r="H206" s="381"/>
      <c r="I206" s="381"/>
      <c r="J206" s="381"/>
      <c r="K206" s="381"/>
      <c r="L206" s="381"/>
      <c r="M206" s="381"/>
      <c r="N206" s="381"/>
      <c r="O206" s="381"/>
      <c r="P206" s="381"/>
      <c r="Q206" s="381"/>
      <c r="R206" s="381"/>
    </row>
    <row r="207" spans="8:18" ht="13.5" hidden="1" thickTop="1">
      <c r="H207" s="381"/>
      <c r="I207" s="381"/>
      <c r="J207" s="381"/>
      <c r="K207" s="381"/>
      <c r="L207" s="381"/>
      <c r="M207" s="381"/>
      <c r="N207" s="381"/>
      <c r="O207" s="381"/>
      <c r="P207" s="381"/>
      <c r="Q207" s="381"/>
      <c r="R207" s="381"/>
    </row>
    <row r="208" spans="8:18" ht="13.5" hidden="1" thickTop="1">
      <c r="H208" s="381"/>
      <c r="I208" s="381"/>
      <c r="J208" s="381"/>
      <c r="K208" s="381"/>
      <c r="L208" s="381"/>
      <c r="M208" s="381"/>
      <c r="N208" s="381"/>
      <c r="O208" s="381"/>
      <c r="P208" s="381"/>
      <c r="Q208" s="381"/>
      <c r="R208" s="381"/>
    </row>
    <row r="209" spans="8:18" ht="13.5" hidden="1" thickTop="1">
      <c r="H209" s="381"/>
      <c r="I209" s="381"/>
      <c r="J209" s="381"/>
      <c r="K209" s="381"/>
      <c r="L209" s="381"/>
      <c r="M209" s="381"/>
      <c r="N209" s="381"/>
      <c r="O209" s="381"/>
      <c r="P209" s="381"/>
      <c r="Q209" s="381"/>
      <c r="R209" s="381"/>
    </row>
    <row r="210" spans="8:18" ht="13.5" hidden="1" thickTop="1">
      <c r="H210" s="381"/>
      <c r="I210" s="381"/>
      <c r="J210" s="381"/>
      <c r="K210" s="381"/>
      <c r="L210" s="381"/>
      <c r="M210" s="381"/>
      <c r="N210" s="381"/>
      <c r="O210" s="381"/>
      <c r="P210" s="381"/>
      <c r="Q210" s="381"/>
      <c r="R210" s="381"/>
    </row>
    <row r="211" spans="8:18" ht="13.5" hidden="1" thickTop="1">
      <c r="H211" s="381"/>
      <c r="I211" s="381"/>
      <c r="J211" s="381"/>
      <c r="K211" s="381"/>
      <c r="L211" s="381"/>
      <c r="M211" s="381"/>
      <c r="N211" s="381"/>
      <c r="O211" s="381"/>
      <c r="P211" s="381"/>
      <c r="Q211" s="381"/>
      <c r="R211" s="381"/>
    </row>
    <row r="212" spans="8:18" ht="13.5" hidden="1" thickTop="1">
      <c r="H212" s="381"/>
      <c r="I212" s="381"/>
      <c r="J212" s="381"/>
      <c r="K212" s="381"/>
      <c r="L212" s="381"/>
      <c r="M212" s="381"/>
      <c r="N212" s="381"/>
      <c r="O212" s="381"/>
      <c r="P212" s="381"/>
      <c r="Q212" s="381"/>
      <c r="R212" s="381"/>
    </row>
    <row r="213" spans="8:18" ht="13.5" hidden="1" thickTop="1">
      <c r="H213" s="381"/>
      <c r="I213" s="381"/>
      <c r="J213" s="381"/>
      <c r="K213" s="381"/>
      <c r="L213" s="381"/>
      <c r="M213" s="381"/>
      <c r="N213" s="381"/>
      <c r="O213" s="381"/>
      <c r="P213" s="381"/>
      <c r="Q213" s="381"/>
      <c r="R213" s="381"/>
    </row>
    <row r="214" spans="8:18" ht="13.5" hidden="1" thickTop="1">
      <c r="H214" s="381"/>
      <c r="I214" s="381"/>
      <c r="J214" s="381"/>
      <c r="K214" s="381"/>
      <c r="L214" s="381"/>
      <c r="M214" s="381"/>
      <c r="N214" s="381"/>
      <c r="O214" s="381"/>
      <c r="P214" s="381"/>
      <c r="Q214" s="381"/>
      <c r="R214" s="381"/>
    </row>
    <row r="215" spans="8:18" ht="13.5" hidden="1" thickTop="1">
      <c r="H215" s="381"/>
      <c r="I215" s="381"/>
      <c r="J215" s="381"/>
      <c r="K215" s="381"/>
      <c r="L215" s="381"/>
      <c r="M215" s="381"/>
      <c r="N215" s="381"/>
      <c r="O215" s="381"/>
      <c r="P215" s="381"/>
      <c r="Q215" s="381"/>
      <c r="R215" s="381"/>
    </row>
    <row r="216" spans="8:18" ht="13.5" hidden="1" thickTop="1">
      <c r="H216" s="381"/>
      <c r="I216" s="381"/>
      <c r="J216" s="381"/>
      <c r="K216" s="381"/>
      <c r="L216" s="381"/>
      <c r="M216" s="381"/>
      <c r="N216" s="381"/>
      <c r="O216" s="381"/>
      <c r="P216" s="381"/>
      <c r="Q216" s="381"/>
      <c r="R216" s="381"/>
    </row>
    <row r="217" spans="8:18" ht="13.5" hidden="1" thickTop="1">
      <c r="H217" s="381"/>
      <c r="I217" s="381"/>
      <c r="J217" s="381"/>
      <c r="K217" s="381"/>
      <c r="L217" s="381"/>
      <c r="M217" s="381"/>
      <c r="N217" s="381"/>
      <c r="O217" s="381"/>
      <c r="P217" s="381"/>
      <c r="Q217" s="381"/>
      <c r="R217" s="381"/>
    </row>
    <row r="218" spans="8:18" ht="13.5" hidden="1" thickTop="1">
      <c r="H218" s="381"/>
      <c r="I218" s="381"/>
      <c r="J218" s="381"/>
      <c r="K218" s="381"/>
      <c r="L218" s="381"/>
      <c r="M218" s="381"/>
      <c r="N218" s="381"/>
      <c r="O218" s="381"/>
      <c r="P218" s="381"/>
      <c r="Q218" s="381"/>
      <c r="R218" s="381"/>
    </row>
    <row r="219" spans="8:18" ht="13.5" hidden="1" thickTop="1">
      <c r="H219" s="381"/>
      <c r="I219" s="381"/>
      <c r="J219" s="381"/>
      <c r="K219" s="381"/>
      <c r="L219" s="381"/>
      <c r="M219" s="381"/>
      <c r="N219" s="381"/>
      <c r="O219" s="381"/>
      <c r="P219" s="381"/>
      <c r="Q219" s="381"/>
      <c r="R219" s="381"/>
    </row>
    <row r="220" spans="8:18" ht="13.5" hidden="1" thickTop="1">
      <c r="H220" s="381"/>
      <c r="I220" s="381"/>
      <c r="J220" s="381"/>
      <c r="K220" s="381"/>
      <c r="L220" s="381"/>
      <c r="M220" s="381"/>
      <c r="N220" s="381"/>
      <c r="O220" s="381"/>
      <c r="P220" s="381"/>
      <c r="Q220" s="381"/>
      <c r="R220" s="381"/>
    </row>
    <row r="221" spans="8:18" ht="13.5" hidden="1" thickTop="1">
      <c r="H221" s="381"/>
      <c r="I221" s="381"/>
      <c r="J221" s="381"/>
      <c r="K221" s="381"/>
      <c r="L221" s="381"/>
      <c r="M221" s="381"/>
      <c r="N221" s="381"/>
      <c r="O221" s="381"/>
      <c r="P221" s="381"/>
      <c r="Q221" s="381"/>
      <c r="R221" s="381"/>
    </row>
    <row r="222" spans="8:18" ht="13.5" hidden="1" thickTop="1">
      <c r="H222" s="381"/>
      <c r="I222" s="381"/>
      <c r="J222" s="381"/>
      <c r="K222" s="381"/>
      <c r="L222" s="381"/>
      <c r="M222" s="381"/>
      <c r="N222" s="381"/>
      <c r="O222" s="381"/>
      <c r="P222" s="381"/>
      <c r="Q222" s="381"/>
      <c r="R222" s="381"/>
    </row>
    <row r="223" spans="8:18" ht="13.5" hidden="1" thickTop="1">
      <c r="H223" s="381"/>
      <c r="I223" s="381"/>
      <c r="J223" s="381"/>
      <c r="K223" s="381"/>
      <c r="L223" s="381"/>
      <c r="M223" s="381"/>
      <c r="N223" s="381"/>
      <c r="O223" s="381"/>
      <c r="P223" s="381"/>
      <c r="Q223" s="381"/>
      <c r="R223" s="381"/>
    </row>
    <row r="224" spans="8:18" ht="13.5" hidden="1" thickTop="1">
      <c r="H224" s="381"/>
      <c r="I224" s="381"/>
      <c r="J224" s="381"/>
      <c r="K224" s="381"/>
      <c r="L224" s="381"/>
      <c r="M224" s="381"/>
      <c r="N224" s="381"/>
      <c r="O224" s="381"/>
      <c r="P224" s="381"/>
      <c r="Q224" s="381"/>
      <c r="R224" s="381"/>
    </row>
    <row r="225" spans="8:18" ht="13.5" hidden="1" thickTop="1">
      <c r="H225" s="381"/>
      <c r="I225" s="381"/>
      <c r="J225" s="381"/>
      <c r="K225" s="381"/>
      <c r="L225" s="381"/>
      <c r="M225" s="381"/>
      <c r="N225" s="381"/>
      <c r="O225" s="381"/>
      <c r="P225" s="381"/>
      <c r="Q225" s="381"/>
      <c r="R225" s="381"/>
    </row>
    <row r="226" spans="8:18" ht="13.5" hidden="1" thickTop="1">
      <c r="H226" s="381"/>
      <c r="I226" s="381"/>
      <c r="J226" s="381"/>
      <c r="K226" s="381"/>
      <c r="L226" s="381"/>
      <c r="M226" s="381"/>
      <c r="N226" s="381"/>
      <c r="O226" s="381"/>
      <c r="P226" s="381"/>
      <c r="Q226" s="381"/>
      <c r="R226" s="381"/>
    </row>
    <row r="227" spans="8:18" ht="13.5" hidden="1" thickTop="1">
      <c r="H227" s="381"/>
      <c r="I227" s="381"/>
      <c r="J227" s="381"/>
      <c r="K227" s="381"/>
      <c r="L227" s="381"/>
      <c r="M227" s="381"/>
      <c r="N227" s="381"/>
      <c r="O227" s="381"/>
      <c r="P227" s="381"/>
      <c r="Q227" s="381"/>
      <c r="R227" s="381"/>
    </row>
    <row r="228" spans="8:18" ht="13.5" hidden="1" thickTop="1">
      <c r="H228" s="381"/>
      <c r="I228" s="381"/>
      <c r="J228" s="381"/>
      <c r="K228" s="381"/>
      <c r="L228" s="381"/>
      <c r="M228" s="381"/>
      <c r="N228" s="381"/>
      <c r="O228" s="381"/>
      <c r="P228" s="381"/>
      <c r="Q228" s="381"/>
      <c r="R228" s="381"/>
    </row>
    <row r="229" spans="8:18" ht="13.5" hidden="1" thickTop="1">
      <c r="H229" s="381"/>
      <c r="I229" s="381"/>
      <c r="J229" s="381"/>
      <c r="K229" s="381"/>
      <c r="L229" s="381"/>
      <c r="M229" s="381"/>
      <c r="N229" s="381"/>
      <c r="O229" s="381"/>
      <c r="P229" s="381"/>
      <c r="Q229" s="381"/>
      <c r="R229" s="381"/>
    </row>
    <row r="230" spans="8:18" ht="13.5" hidden="1" thickTop="1">
      <c r="H230" s="381"/>
      <c r="I230" s="381"/>
      <c r="J230" s="381"/>
      <c r="K230" s="381"/>
      <c r="L230" s="381"/>
      <c r="M230" s="381"/>
      <c r="N230" s="381"/>
      <c r="O230" s="381"/>
      <c r="P230" s="381"/>
      <c r="Q230" s="381"/>
      <c r="R230" s="381"/>
    </row>
    <row r="231" spans="8:18" ht="13.5" hidden="1" thickTop="1">
      <c r="H231" s="381"/>
      <c r="I231" s="381"/>
      <c r="J231" s="381"/>
      <c r="K231" s="381"/>
      <c r="L231" s="381"/>
      <c r="M231" s="381"/>
      <c r="N231" s="381"/>
      <c r="O231" s="381"/>
      <c r="P231" s="381"/>
      <c r="Q231" s="381"/>
      <c r="R231" s="381"/>
    </row>
    <row r="232" spans="8:18" ht="13.5" hidden="1" thickTop="1">
      <c r="H232" s="381"/>
      <c r="I232" s="381"/>
      <c r="J232" s="381"/>
      <c r="K232" s="381"/>
      <c r="L232" s="381"/>
      <c r="M232" s="381"/>
      <c r="N232" s="381"/>
      <c r="O232" s="381"/>
      <c r="P232" s="381"/>
      <c r="Q232" s="381"/>
      <c r="R232" s="381"/>
    </row>
    <row r="233" spans="8:18" ht="13.5" hidden="1" thickTop="1">
      <c r="H233" s="381"/>
      <c r="I233" s="381"/>
      <c r="J233" s="381"/>
      <c r="K233" s="381"/>
      <c r="L233" s="381"/>
      <c r="M233" s="381"/>
      <c r="N233" s="381"/>
      <c r="O233" s="381"/>
      <c r="P233" s="381"/>
      <c r="Q233" s="381"/>
      <c r="R233" s="381"/>
    </row>
    <row r="234" spans="8:18" ht="13.5" hidden="1" thickTop="1">
      <c r="H234" s="381"/>
      <c r="I234" s="381"/>
      <c r="J234" s="381"/>
      <c r="K234" s="381"/>
      <c r="L234" s="381"/>
      <c r="M234" s="381"/>
      <c r="N234" s="381"/>
      <c r="O234" s="381"/>
      <c r="P234" s="381"/>
      <c r="Q234" s="381"/>
      <c r="R234" s="381"/>
    </row>
    <row r="235" spans="8:18" ht="13.5" hidden="1" thickTop="1">
      <c r="H235" s="381"/>
      <c r="I235" s="381"/>
      <c r="J235" s="381"/>
      <c r="K235" s="381"/>
      <c r="L235" s="381"/>
      <c r="M235" s="381"/>
      <c r="N235" s="381"/>
      <c r="O235" s="381"/>
      <c r="P235" s="381"/>
      <c r="Q235" s="381"/>
      <c r="R235" s="381"/>
    </row>
    <row r="236" spans="8:18" ht="13.5" hidden="1" thickTop="1">
      <c r="H236" s="381"/>
      <c r="I236" s="381"/>
      <c r="J236" s="381"/>
      <c r="K236" s="381"/>
      <c r="L236" s="381"/>
      <c r="M236" s="381"/>
      <c r="N236" s="381"/>
      <c r="O236" s="381"/>
      <c r="P236" s="381"/>
      <c r="Q236" s="381"/>
      <c r="R236" s="381"/>
    </row>
    <row r="237" spans="8:18" ht="13.5" hidden="1" thickTop="1">
      <c r="H237" s="381"/>
      <c r="I237" s="381"/>
      <c r="J237" s="381"/>
      <c r="K237" s="381"/>
      <c r="L237" s="381"/>
      <c r="M237" s="381"/>
      <c r="N237" s="381"/>
      <c r="O237" s="381"/>
      <c r="P237" s="381"/>
      <c r="Q237" s="381"/>
      <c r="R237" s="381"/>
    </row>
    <row r="238" spans="8:18" ht="13.5" hidden="1" thickTop="1">
      <c r="H238" s="381"/>
      <c r="I238" s="381"/>
      <c r="J238" s="381"/>
      <c r="K238" s="381"/>
      <c r="L238" s="381"/>
      <c r="M238" s="381"/>
      <c r="N238" s="381"/>
      <c r="O238" s="381"/>
      <c r="P238" s="381"/>
      <c r="Q238" s="381"/>
      <c r="R238" s="381"/>
    </row>
    <row r="239" spans="8:18" ht="13.5" hidden="1" thickTop="1">
      <c r="H239" s="381"/>
      <c r="I239" s="381"/>
      <c r="J239" s="381"/>
      <c r="K239" s="381"/>
      <c r="L239" s="381"/>
      <c r="M239" s="381"/>
      <c r="N239" s="381"/>
      <c r="O239" s="381"/>
      <c r="P239" s="381"/>
      <c r="Q239" s="381"/>
      <c r="R239" s="381"/>
    </row>
    <row r="240" spans="8:18" ht="13.5" hidden="1" thickTop="1">
      <c r="H240" s="381"/>
      <c r="I240" s="381"/>
      <c r="J240" s="381"/>
      <c r="K240" s="381"/>
      <c r="L240" s="381"/>
      <c r="M240" s="381"/>
      <c r="N240" s="381"/>
      <c r="O240" s="381"/>
      <c r="P240" s="381"/>
      <c r="Q240" s="381"/>
      <c r="R240" s="381"/>
    </row>
    <row r="241" spans="8:18" ht="13.5" hidden="1" thickTop="1">
      <c r="H241" s="381"/>
      <c r="I241" s="381"/>
      <c r="J241" s="381"/>
      <c r="K241" s="381"/>
      <c r="L241" s="381"/>
      <c r="M241" s="381"/>
      <c r="N241" s="381"/>
      <c r="O241" s="381"/>
      <c r="P241" s="381"/>
      <c r="Q241" s="381"/>
      <c r="R241" s="381"/>
    </row>
    <row r="242" spans="8:18" ht="13.5" hidden="1" thickTop="1">
      <c r="H242" s="381"/>
      <c r="I242" s="381"/>
      <c r="J242" s="381"/>
      <c r="K242" s="381"/>
      <c r="L242" s="381"/>
      <c r="M242" s="381"/>
      <c r="N242" s="381"/>
      <c r="O242" s="381"/>
      <c r="P242" s="381"/>
      <c r="Q242" s="381"/>
      <c r="R242" s="381"/>
    </row>
    <row r="243" spans="8:18" ht="13.5" hidden="1" thickTop="1">
      <c r="H243" s="381"/>
      <c r="I243" s="381"/>
      <c r="J243" s="381"/>
      <c r="K243" s="381"/>
      <c r="L243" s="381"/>
      <c r="M243" s="381"/>
      <c r="N243" s="381"/>
      <c r="O243" s="381"/>
      <c r="P243" s="381"/>
      <c r="Q243" s="381"/>
      <c r="R243" s="381"/>
    </row>
    <row r="244" spans="8:18" ht="13.5" hidden="1" thickTop="1">
      <c r="H244" s="381"/>
      <c r="I244" s="381"/>
      <c r="J244" s="381"/>
      <c r="K244" s="381"/>
      <c r="L244" s="381"/>
      <c r="M244" s="381"/>
      <c r="N244" s="381"/>
      <c r="O244" s="381"/>
      <c r="P244" s="381"/>
      <c r="Q244" s="381"/>
      <c r="R244" s="381"/>
    </row>
    <row r="245" spans="8:18" ht="13.5" hidden="1" thickTop="1">
      <c r="H245" s="381"/>
      <c r="I245" s="381"/>
      <c r="J245" s="381"/>
      <c r="K245" s="381"/>
      <c r="L245" s="381"/>
      <c r="M245" s="381"/>
      <c r="N245" s="381"/>
      <c r="O245" s="381"/>
      <c r="P245" s="381"/>
      <c r="Q245" s="381"/>
      <c r="R245" s="381"/>
    </row>
    <row r="246" spans="8:18" ht="13.5" hidden="1" thickTop="1">
      <c r="H246" s="381"/>
      <c r="I246" s="381"/>
      <c r="J246" s="381"/>
      <c r="K246" s="381"/>
      <c r="L246" s="381"/>
      <c r="M246" s="381"/>
      <c r="N246" s="381"/>
      <c r="O246" s="381"/>
      <c r="P246" s="381"/>
      <c r="Q246" s="381"/>
      <c r="R246" s="381"/>
    </row>
    <row r="247" spans="8:18" ht="13.5" hidden="1" thickTop="1">
      <c r="H247" s="381"/>
      <c r="I247" s="381"/>
      <c r="J247" s="381"/>
      <c r="K247" s="381"/>
      <c r="L247" s="381"/>
      <c r="M247" s="381"/>
      <c r="N247" s="381"/>
      <c r="O247" s="381"/>
      <c r="P247" s="381"/>
      <c r="Q247" s="381"/>
      <c r="R247" s="381"/>
    </row>
    <row r="248" spans="8:18" ht="13.5" hidden="1" thickTop="1">
      <c r="H248" s="381"/>
      <c r="I248" s="381"/>
      <c r="J248" s="381"/>
      <c r="K248" s="381"/>
      <c r="L248" s="381"/>
      <c r="M248" s="381"/>
      <c r="N248" s="381"/>
      <c r="O248" s="381"/>
      <c r="P248" s="381"/>
      <c r="Q248" s="381"/>
      <c r="R248" s="381"/>
    </row>
    <row r="249" spans="8:18" ht="13.5" hidden="1" thickTop="1">
      <c r="H249" s="381"/>
      <c r="I249" s="381"/>
      <c r="J249" s="381"/>
      <c r="K249" s="381"/>
      <c r="L249" s="381"/>
      <c r="M249" s="381"/>
      <c r="N249" s="381"/>
      <c r="O249" s="381"/>
      <c r="P249" s="381"/>
      <c r="Q249" s="381"/>
      <c r="R249" s="381"/>
    </row>
    <row r="250" spans="8:18" ht="13.5" hidden="1" thickTop="1">
      <c r="H250" s="381"/>
      <c r="I250" s="381"/>
      <c r="J250" s="381"/>
      <c r="K250" s="381"/>
      <c r="L250" s="381"/>
      <c r="M250" s="381"/>
      <c r="N250" s="381"/>
      <c r="O250" s="381"/>
      <c r="P250" s="381"/>
      <c r="Q250" s="381"/>
      <c r="R250" s="381"/>
    </row>
    <row r="251" spans="8:18" ht="13.5" hidden="1" thickTop="1">
      <c r="H251" s="381"/>
      <c r="I251" s="381"/>
      <c r="J251" s="381"/>
      <c r="K251" s="381"/>
      <c r="L251" s="381"/>
      <c r="M251" s="381"/>
      <c r="N251" s="381"/>
      <c r="O251" s="381"/>
      <c r="P251" s="381"/>
      <c r="Q251" s="381"/>
      <c r="R251" s="381"/>
    </row>
    <row r="252" spans="8:18" ht="13.5" hidden="1" thickTop="1">
      <c r="H252" s="381"/>
      <c r="I252" s="381"/>
      <c r="J252" s="381"/>
      <c r="K252" s="381"/>
      <c r="L252" s="381"/>
      <c r="M252" s="381"/>
      <c r="N252" s="381"/>
      <c r="O252" s="381"/>
      <c r="P252" s="381"/>
      <c r="Q252" s="381"/>
      <c r="R252" s="381"/>
    </row>
    <row r="253" spans="8:18" ht="13.5" hidden="1" thickTop="1">
      <c r="H253" s="381"/>
      <c r="I253" s="381"/>
      <c r="J253" s="381"/>
      <c r="K253" s="381"/>
      <c r="L253" s="381"/>
      <c r="M253" s="381"/>
      <c r="N253" s="381"/>
      <c r="O253" s="381"/>
      <c r="P253" s="381"/>
      <c r="Q253" s="381"/>
      <c r="R253" s="381"/>
    </row>
    <row r="254" spans="8:18" ht="13.5" hidden="1" thickTop="1">
      <c r="H254" s="381"/>
      <c r="I254" s="381"/>
      <c r="J254" s="381"/>
      <c r="K254" s="381"/>
      <c r="L254" s="381"/>
      <c r="M254" s="381"/>
      <c r="N254" s="381"/>
      <c r="O254" s="381"/>
      <c r="P254" s="381"/>
      <c r="Q254" s="381"/>
      <c r="R254" s="381"/>
    </row>
    <row r="255" spans="8:18" ht="13.5" hidden="1" thickTop="1">
      <c r="H255" s="381"/>
      <c r="I255" s="381"/>
      <c r="J255" s="381"/>
      <c r="K255" s="381"/>
      <c r="L255" s="381"/>
      <c r="M255" s="381"/>
      <c r="N255" s="381"/>
      <c r="O255" s="381"/>
      <c r="P255" s="381"/>
      <c r="Q255" s="381"/>
      <c r="R255" s="381"/>
    </row>
    <row r="256" spans="8:18" ht="13.5" hidden="1" thickTop="1">
      <c r="H256" s="381"/>
      <c r="I256" s="381"/>
      <c r="J256" s="381"/>
      <c r="K256" s="381"/>
      <c r="L256" s="381"/>
      <c r="M256" s="381"/>
      <c r="N256" s="381"/>
      <c r="O256" s="381"/>
      <c r="P256" s="381"/>
      <c r="Q256" s="381"/>
      <c r="R256" s="381"/>
    </row>
    <row r="257" spans="8:18" ht="13.5" hidden="1" thickTop="1">
      <c r="H257" s="381"/>
      <c r="I257" s="381"/>
      <c r="J257" s="381"/>
      <c r="K257" s="381"/>
      <c r="L257" s="381"/>
      <c r="M257" s="381"/>
      <c r="N257" s="381"/>
      <c r="O257" s="381"/>
      <c r="P257" s="381"/>
      <c r="Q257" s="381"/>
      <c r="R257" s="381"/>
    </row>
    <row r="258" spans="8:18" ht="13.5" hidden="1" thickTop="1">
      <c r="H258" s="381"/>
      <c r="I258" s="381"/>
      <c r="J258" s="381"/>
      <c r="K258" s="381"/>
      <c r="L258" s="381"/>
      <c r="M258" s="381"/>
      <c r="N258" s="381"/>
      <c r="O258" s="381"/>
      <c r="P258" s="381"/>
      <c r="Q258" s="381"/>
      <c r="R258" s="381"/>
    </row>
    <row r="259" spans="8:18" ht="13.5" hidden="1" thickTop="1">
      <c r="H259" s="381"/>
      <c r="I259" s="381"/>
      <c r="J259" s="381"/>
      <c r="K259" s="381"/>
      <c r="L259" s="381"/>
      <c r="M259" s="381"/>
      <c r="N259" s="381"/>
      <c r="O259" s="381"/>
      <c r="P259" s="381"/>
      <c r="Q259" s="381"/>
      <c r="R259" s="381"/>
    </row>
    <row r="260" spans="8:18" ht="13.5" hidden="1" thickTop="1">
      <c r="H260" s="381"/>
      <c r="I260" s="381"/>
      <c r="J260" s="381"/>
      <c r="K260" s="381"/>
      <c r="L260" s="381"/>
      <c r="M260" s="381"/>
      <c r="N260" s="381"/>
      <c r="O260" s="381"/>
      <c r="P260" s="381"/>
      <c r="Q260" s="381"/>
      <c r="R260" s="381"/>
    </row>
    <row r="261" spans="8:18" ht="13.5" hidden="1" thickTop="1">
      <c r="H261" s="381"/>
      <c r="I261" s="381"/>
      <c r="J261" s="381"/>
      <c r="K261" s="381"/>
      <c r="L261" s="381"/>
      <c r="M261" s="381"/>
      <c r="N261" s="381"/>
      <c r="O261" s="381"/>
      <c r="P261" s="381"/>
      <c r="Q261" s="381"/>
      <c r="R261" s="381"/>
    </row>
    <row r="262" spans="8:18" ht="13.5" hidden="1" thickTop="1">
      <c r="H262" s="381"/>
      <c r="I262" s="381"/>
      <c r="J262" s="381"/>
      <c r="K262" s="381"/>
      <c r="L262" s="381"/>
      <c r="M262" s="381"/>
      <c r="N262" s="381"/>
      <c r="O262" s="381"/>
      <c r="P262" s="381"/>
      <c r="Q262" s="381"/>
      <c r="R262" s="381"/>
    </row>
    <row r="263" spans="8:18" ht="13.5" hidden="1" thickTop="1">
      <c r="H263" s="381"/>
      <c r="I263" s="381"/>
      <c r="J263" s="381"/>
      <c r="K263" s="381"/>
      <c r="L263" s="381"/>
      <c r="M263" s="381"/>
      <c r="N263" s="381"/>
      <c r="O263" s="381"/>
      <c r="P263" s="381"/>
      <c r="Q263" s="381"/>
      <c r="R263" s="381"/>
    </row>
    <row r="264" spans="8:18" ht="13.5" hidden="1" thickTop="1">
      <c r="H264" s="381"/>
      <c r="I264" s="381"/>
      <c r="J264" s="381"/>
      <c r="K264" s="381"/>
      <c r="L264" s="381"/>
      <c r="M264" s="381"/>
      <c r="N264" s="381"/>
      <c r="O264" s="381"/>
      <c r="P264" s="381"/>
      <c r="Q264" s="381"/>
      <c r="R264" s="381"/>
    </row>
    <row r="265" spans="8:18" ht="13.5" hidden="1" thickTop="1">
      <c r="H265" s="381"/>
      <c r="I265" s="381"/>
      <c r="J265" s="381"/>
      <c r="K265" s="381"/>
      <c r="L265" s="381"/>
      <c r="M265" s="381"/>
      <c r="N265" s="381"/>
      <c r="O265" s="381"/>
      <c r="P265" s="381"/>
      <c r="Q265" s="381"/>
      <c r="R265" s="381"/>
    </row>
    <row r="266" spans="8:18" ht="13.5" hidden="1" thickTop="1">
      <c r="H266" s="381"/>
      <c r="I266" s="381"/>
      <c r="J266" s="381"/>
      <c r="K266" s="381"/>
      <c r="L266" s="381"/>
      <c r="M266" s="381"/>
      <c r="N266" s="381"/>
      <c r="O266" s="381"/>
      <c r="P266" s="381"/>
      <c r="Q266" s="381"/>
      <c r="R266" s="381"/>
    </row>
    <row r="267" spans="8:18" ht="13.5" hidden="1" thickTop="1">
      <c r="H267" s="381"/>
      <c r="I267" s="381"/>
      <c r="J267" s="381"/>
      <c r="K267" s="381"/>
      <c r="L267" s="381"/>
      <c r="M267" s="381"/>
      <c r="N267" s="381"/>
      <c r="O267" s="381"/>
      <c r="P267" s="381"/>
      <c r="Q267" s="381"/>
      <c r="R267" s="381"/>
    </row>
    <row r="268" spans="8:18" ht="13.5" hidden="1" thickTop="1">
      <c r="H268" s="381"/>
      <c r="I268" s="381"/>
      <c r="J268" s="381"/>
      <c r="K268" s="381"/>
      <c r="L268" s="381"/>
      <c r="M268" s="381"/>
      <c r="N268" s="381"/>
      <c r="O268" s="381"/>
      <c r="P268" s="381"/>
      <c r="Q268" s="381"/>
      <c r="R268" s="381"/>
    </row>
    <row r="269" spans="8:18" ht="13.5" hidden="1" thickTop="1">
      <c r="H269" s="381"/>
      <c r="I269" s="381"/>
      <c r="J269" s="381"/>
      <c r="K269" s="381"/>
      <c r="L269" s="381"/>
      <c r="M269" s="381"/>
      <c r="N269" s="381"/>
      <c r="O269" s="381"/>
      <c r="P269" s="381"/>
      <c r="Q269" s="381"/>
      <c r="R269" s="381"/>
    </row>
    <row r="270" spans="8:18" ht="13.5" hidden="1" thickTop="1">
      <c r="H270" s="381"/>
      <c r="I270" s="381"/>
      <c r="J270" s="381"/>
      <c r="K270" s="381"/>
      <c r="L270" s="381"/>
      <c r="M270" s="381"/>
      <c r="N270" s="381"/>
      <c r="O270" s="381"/>
      <c r="P270" s="381"/>
      <c r="Q270" s="381"/>
      <c r="R270" s="381"/>
    </row>
    <row r="271" spans="8:18" ht="13.5" hidden="1" thickTop="1">
      <c r="H271" s="381"/>
      <c r="I271" s="381"/>
      <c r="J271" s="381"/>
      <c r="K271" s="381"/>
      <c r="L271" s="381"/>
      <c r="M271" s="381"/>
      <c r="N271" s="381"/>
      <c r="O271" s="381"/>
      <c r="P271" s="381"/>
      <c r="Q271" s="381"/>
      <c r="R271" s="381"/>
    </row>
    <row r="272" spans="8:18" ht="13.5" hidden="1" thickTop="1">
      <c r="H272" s="381"/>
      <c r="I272" s="381"/>
      <c r="J272" s="381"/>
      <c r="K272" s="381"/>
      <c r="L272" s="381"/>
      <c r="M272" s="381"/>
      <c r="N272" s="381"/>
      <c r="O272" s="381"/>
      <c r="P272" s="381"/>
      <c r="Q272" s="381"/>
      <c r="R272" s="381"/>
    </row>
    <row r="273" spans="8:18" ht="13.5" hidden="1" thickTop="1">
      <c r="H273" s="381"/>
      <c r="I273" s="381"/>
      <c r="J273" s="381"/>
      <c r="K273" s="381"/>
      <c r="L273" s="381"/>
      <c r="M273" s="381"/>
      <c r="N273" s="381"/>
      <c r="O273" s="381"/>
      <c r="P273" s="381"/>
      <c r="Q273" s="381"/>
      <c r="R273" s="381"/>
    </row>
    <row r="274" spans="8:18" ht="13.5" hidden="1" thickTop="1">
      <c r="H274" s="381"/>
      <c r="I274" s="381"/>
      <c r="J274" s="381"/>
      <c r="K274" s="381"/>
      <c r="L274" s="381"/>
      <c r="M274" s="381"/>
      <c r="N274" s="381"/>
      <c r="O274" s="381"/>
      <c r="P274" s="381"/>
      <c r="Q274" s="381"/>
      <c r="R274" s="381"/>
    </row>
    <row r="275" spans="8:18" ht="13.5" hidden="1" thickTop="1">
      <c r="H275" s="381"/>
      <c r="I275" s="381"/>
      <c r="J275" s="381"/>
      <c r="K275" s="381"/>
      <c r="L275" s="381"/>
      <c r="M275" s="381"/>
      <c r="N275" s="381"/>
      <c r="O275" s="381"/>
      <c r="P275" s="381"/>
      <c r="Q275" s="381"/>
      <c r="R275" s="381"/>
    </row>
    <row r="276" spans="8:18" ht="13.5" hidden="1" thickTop="1">
      <c r="H276" s="381"/>
      <c r="I276" s="381"/>
      <c r="J276" s="381"/>
      <c r="K276" s="381"/>
      <c r="L276" s="381"/>
      <c r="M276" s="381"/>
      <c r="N276" s="381"/>
      <c r="O276" s="381"/>
      <c r="P276" s="381"/>
      <c r="Q276" s="381"/>
      <c r="R276" s="381"/>
    </row>
    <row r="277" spans="8:18" ht="13.5" hidden="1" thickTop="1">
      <c r="H277" s="381"/>
      <c r="I277" s="381"/>
      <c r="J277" s="381"/>
      <c r="K277" s="381"/>
      <c r="L277" s="381"/>
      <c r="M277" s="381"/>
      <c r="N277" s="381"/>
      <c r="O277" s="381"/>
      <c r="P277" s="381"/>
      <c r="Q277" s="381"/>
      <c r="R277" s="381"/>
    </row>
    <row r="278" spans="8:18" ht="13.5" hidden="1" thickTop="1">
      <c r="H278" s="381"/>
      <c r="I278" s="381"/>
      <c r="J278" s="381"/>
      <c r="K278" s="381"/>
      <c r="L278" s="381"/>
      <c r="M278" s="381"/>
      <c r="N278" s="381"/>
      <c r="O278" s="381"/>
      <c r="P278" s="381"/>
      <c r="Q278" s="381"/>
      <c r="R278" s="381"/>
    </row>
    <row r="279" spans="8:18" ht="13.5" hidden="1" thickTop="1">
      <c r="H279" s="381"/>
      <c r="I279" s="381"/>
      <c r="J279" s="381"/>
      <c r="K279" s="381"/>
      <c r="L279" s="381"/>
      <c r="M279" s="381"/>
      <c r="N279" s="381"/>
      <c r="O279" s="381"/>
      <c r="P279" s="381"/>
      <c r="Q279" s="381"/>
      <c r="R279" s="381"/>
    </row>
    <row r="280" spans="8:18" ht="13.5" hidden="1" thickTop="1">
      <c r="H280" s="381"/>
      <c r="I280" s="381"/>
      <c r="J280" s="381"/>
      <c r="K280" s="381"/>
      <c r="L280" s="381"/>
      <c r="M280" s="381"/>
      <c r="N280" s="381"/>
      <c r="O280" s="381"/>
      <c r="P280" s="381"/>
      <c r="Q280" s="381"/>
      <c r="R280" s="381"/>
    </row>
    <row r="281" spans="8:18" ht="13.5" hidden="1" thickTop="1">
      <c r="H281" s="381"/>
      <c r="I281" s="381"/>
      <c r="J281" s="381"/>
      <c r="K281" s="381"/>
      <c r="L281" s="381"/>
      <c r="M281" s="381"/>
      <c r="N281" s="381"/>
      <c r="O281" s="381"/>
      <c r="P281" s="381"/>
      <c r="Q281" s="381"/>
      <c r="R281" s="381"/>
    </row>
    <row r="282" spans="8:18" ht="13.5" hidden="1" thickTop="1">
      <c r="H282" s="381"/>
      <c r="I282" s="381"/>
      <c r="J282" s="381"/>
      <c r="K282" s="381"/>
      <c r="L282" s="381"/>
      <c r="M282" s="381"/>
      <c r="N282" s="381"/>
      <c r="O282" s="381"/>
      <c r="P282" s="381"/>
      <c r="Q282" s="381"/>
      <c r="R282" s="381"/>
    </row>
    <row r="283" spans="8:18" ht="13.5" hidden="1" thickTop="1">
      <c r="H283" s="381"/>
      <c r="I283" s="381"/>
      <c r="J283" s="381"/>
      <c r="K283" s="381"/>
      <c r="L283" s="381"/>
      <c r="M283" s="381"/>
      <c r="N283" s="381"/>
      <c r="O283" s="381"/>
      <c r="P283" s="381"/>
      <c r="Q283" s="381"/>
      <c r="R283" s="381"/>
    </row>
    <row r="284" spans="8:18" ht="13.5" hidden="1" thickTop="1">
      <c r="H284" s="381"/>
      <c r="I284" s="381"/>
      <c r="J284" s="381"/>
      <c r="K284" s="381"/>
      <c r="L284" s="381"/>
      <c r="M284" s="381"/>
      <c r="N284" s="381"/>
      <c r="O284" s="381"/>
      <c r="P284" s="381"/>
      <c r="Q284" s="381"/>
      <c r="R284" s="381"/>
    </row>
    <row r="285" spans="8:18" ht="13.5" hidden="1" thickTop="1">
      <c r="H285" s="381"/>
      <c r="I285" s="381"/>
      <c r="J285" s="381"/>
      <c r="K285" s="381"/>
      <c r="L285" s="381"/>
      <c r="M285" s="381"/>
      <c r="N285" s="381"/>
      <c r="O285" s="381"/>
      <c r="P285" s="381"/>
      <c r="Q285" s="381"/>
      <c r="R285" s="381"/>
    </row>
    <row r="286" spans="8:18" ht="13.5" hidden="1" thickTop="1">
      <c r="H286" s="381"/>
      <c r="I286" s="381"/>
      <c r="J286" s="381"/>
      <c r="K286" s="381"/>
      <c r="L286" s="381"/>
      <c r="M286" s="381"/>
      <c r="N286" s="381"/>
      <c r="O286" s="381"/>
      <c r="P286" s="381"/>
      <c r="Q286" s="381"/>
      <c r="R286" s="381"/>
    </row>
    <row r="287" spans="8:18" ht="13.5" hidden="1" thickTop="1">
      <c r="H287" s="381"/>
      <c r="I287" s="381"/>
      <c r="J287" s="381"/>
      <c r="K287" s="381"/>
      <c r="L287" s="381"/>
      <c r="M287" s="381"/>
      <c r="N287" s="381"/>
      <c r="O287" s="381"/>
      <c r="P287" s="381"/>
      <c r="Q287" s="381"/>
      <c r="R287" s="381"/>
    </row>
    <row r="288" spans="8:18" ht="13.5" hidden="1" thickTop="1">
      <c r="H288" s="381"/>
      <c r="I288" s="381"/>
      <c r="J288" s="381"/>
      <c r="K288" s="381"/>
      <c r="L288" s="381"/>
      <c r="M288" s="381"/>
      <c r="N288" s="381"/>
      <c r="O288" s="381"/>
      <c r="P288" s="381"/>
      <c r="Q288" s="381"/>
      <c r="R288" s="381"/>
    </row>
    <row r="289" spans="8:18" ht="13.5" hidden="1" thickTop="1">
      <c r="H289" s="381"/>
      <c r="I289" s="381"/>
      <c r="J289" s="381"/>
      <c r="K289" s="381"/>
      <c r="L289" s="381"/>
      <c r="M289" s="381"/>
      <c r="N289" s="381"/>
      <c r="O289" s="381"/>
      <c r="P289" s="381"/>
      <c r="Q289" s="381"/>
      <c r="R289" s="381"/>
    </row>
    <row r="290" spans="8:18" ht="13.5" hidden="1" thickTop="1">
      <c r="H290" s="381"/>
      <c r="I290" s="381"/>
      <c r="J290" s="381"/>
      <c r="K290" s="381"/>
      <c r="L290" s="381"/>
      <c r="M290" s="381"/>
      <c r="N290" s="381"/>
      <c r="O290" s="381"/>
      <c r="P290" s="381"/>
      <c r="Q290" s="381"/>
      <c r="R290" s="381"/>
    </row>
    <row r="291" spans="8:18" ht="13.5" hidden="1" thickTop="1">
      <c r="H291" s="381"/>
      <c r="I291" s="381"/>
      <c r="J291" s="381"/>
      <c r="K291" s="381"/>
      <c r="L291" s="381"/>
      <c r="M291" s="381"/>
      <c r="N291" s="381"/>
      <c r="O291" s="381"/>
      <c r="P291" s="381"/>
      <c r="Q291" s="381"/>
      <c r="R291" s="381"/>
    </row>
    <row r="292" spans="8:18" ht="13.5" hidden="1" thickTop="1">
      <c r="H292" s="381"/>
      <c r="I292" s="381"/>
      <c r="J292" s="381"/>
      <c r="K292" s="381"/>
      <c r="L292" s="381"/>
      <c r="M292" s="381"/>
      <c r="N292" s="381"/>
      <c r="O292" s="381"/>
      <c r="P292" s="381"/>
      <c r="Q292" s="381"/>
      <c r="R292" s="381"/>
    </row>
    <row r="293" spans="8:18" ht="13.5" hidden="1" thickTop="1">
      <c r="H293" s="381"/>
      <c r="I293" s="381"/>
      <c r="J293" s="381"/>
      <c r="K293" s="381"/>
      <c r="L293" s="381"/>
      <c r="M293" s="381"/>
      <c r="N293" s="381"/>
      <c r="O293" s="381"/>
      <c r="P293" s="381"/>
      <c r="Q293" s="381"/>
      <c r="R293" s="381"/>
    </row>
    <row r="294" spans="8:18" ht="13.5" hidden="1" thickTop="1">
      <c r="H294" s="381"/>
      <c r="I294" s="381"/>
      <c r="J294" s="381"/>
      <c r="K294" s="381"/>
      <c r="L294" s="381"/>
      <c r="M294" s="381"/>
      <c r="N294" s="381"/>
      <c r="O294" s="381"/>
      <c r="P294" s="381"/>
      <c r="Q294" s="381"/>
      <c r="R294" s="381"/>
    </row>
    <row r="295" spans="8:18" ht="13.5" hidden="1" thickTop="1">
      <c r="H295" s="381"/>
      <c r="I295" s="381"/>
      <c r="J295" s="381"/>
      <c r="K295" s="381"/>
      <c r="L295" s="381"/>
      <c r="M295" s="381"/>
      <c r="N295" s="381"/>
      <c r="O295" s="381"/>
      <c r="P295" s="381"/>
      <c r="Q295" s="381"/>
      <c r="R295" s="381"/>
    </row>
    <row r="296" spans="8:18" ht="13.5" hidden="1" thickTop="1">
      <c r="H296" s="381"/>
      <c r="I296" s="381"/>
      <c r="J296" s="381"/>
      <c r="K296" s="381"/>
      <c r="L296" s="381"/>
      <c r="M296" s="381"/>
      <c r="N296" s="381"/>
      <c r="O296" s="381"/>
      <c r="P296" s="381"/>
      <c r="Q296" s="381"/>
      <c r="R296" s="381"/>
    </row>
    <row r="297" spans="8:18" ht="13.5" hidden="1" thickTop="1">
      <c r="H297" s="381"/>
      <c r="I297" s="381"/>
      <c r="J297" s="381"/>
      <c r="K297" s="381"/>
      <c r="L297" s="381"/>
      <c r="M297" s="381"/>
      <c r="N297" s="381"/>
      <c r="O297" s="381"/>
      <c r="P297" s="381"/>
      <c r="Q297" s="381"/>
      <c r="R297" s="381"/>
    </row>
    <row r="298" spans="8:18" ht="13.5" hidden="1" thickTop="1">
      <c r="H298" s="381"/>
      <c r="I298" s="381"/>
      <c r="J298" s="381"/>
      <c r="K298" s="381"/>
      <c r="L298" s="381"/>
      <c r="M298" s="381"/>
      <c r="N298" s="381"/>
      <c r="O298" s="381"/>
      <c r="P298" s="381"/>
      <c r="Q298" s="381"/>
      <c r="R298" s="381"/>
    </row>
    <row r="299" spans="8:18" ht="13.5" hidden="1" thickTop="1">
      <c r="H299" s="381"/>
      <c r="I299" s="381"/>
      <c r="J299" s="381"/>
      <c r="K299" s="381"/>
      <c r="L299" s="381"/>
      <c r="M299" s="381"/>
      <c r="N299" s="381"/>
      <c r="O299" s="381"/>
      <c r="P299" s="381"/>
      <c r="Q299" s="381"/>
      <c r="R299" s="381"/>
    </row>
    <row r="300" spans="8:18" ht="13.5" hidden="1" thickTop="1">
      <c r="H300" s="381"/>
      <c r="I300" s="381"/>
      <c r="J300" s="381"/>
      <c r="K300" s="381"/>
      <c r="L300" s="381"/>
      <c r="M300" s="381"/>
      <c r="N300" s="381"/>
      <c r="O300" s="381"/>
      <c r="P300" s="381"/>
      <c r="Q300" s="381"/>
      <c r="R300" s="381"/>
    </row>
    <row r="301" spans="8:18" ht="13.5" hidden="1" thickTop="1">
      <c r="H301" s="381"/>
      <c r="I301" s="381"/>
      <c r="J301" s="381"/>
      <c r="K301" s="381"/>
      <c r="L301" s="381"/>
      <c r="M301" s="381"/>
      <c r="N301" s="381"/>
      <c r="O301" s="381"/>
      <c r="P301" s="381"/>
      <c r="Q301" s="381"/>
      <c r="R301" s="381"/>
    </row>
    <row r="302" spans="8:18" ht="13.5" hidden="1" thickTop="1">
      <c r="H302" s="381"/>
      <c r="I302" s="381"/>
      <c r="J302" s="381"/>
      <c r="K302" s="381"/>
      <c r="L302" s="381"/>
      <c r="M302" s="381"/>
      <c r="N302" s="381"/>
      <c r="O302" s="381"/>
      <c r="P302" s="381"/>
      <c r="Q302" s="381"/>
      <c r="R302" s="381"/>
    </row>
    <row r="303" spans="8:18" ht="13.5" hidden="1" thickTop="1">
      <c r="H303" s="381"/>
      <c r="I303" s="381"/>
      <c r="J303" s="381"/>
      <c r="K303" s="381"/>
      <c r="L303" s="381"/>
      <c r="M303" s="381"/>
      <c r="N303" s="381"/>
      <c r="O303" s="381"/>
      <c r="P303" s="381"/>
      <c r="Q303" s="381"/>
      <c r="R303" s="381"/>
    </row>
    <row r="304" spans="8:18" ht="13.5" hidden="1" thickTop="1">
      <c r="H304" s="381"/>
      <c r="I304" s="381"/>
      <c r="J304" s="381"/>
      <c r="K304" s="381"/>
      <c r="L304" s="381"/>
      <c r="M304" s="381"/>
      <c r="N304" s="381"/>
      <c r="O304" s="381"/>
      <c r="P304" s="381"/>
      <c r="Q304" s="381"/>
      <c r="R304" s="381"/>
    </row>
    <row r="305" spans="8:18" ht="13.5" hidden="1" thickTop="1">
      <c r="H305" s="381"/>
      <c r="I305" s="381"/>
      <c r="J305" s="381"/>
      <c r="K305" s="381"/>
      <c r="L305" s="381"/>
      <c r="M305" s="381"/>
      <c r="N305" s="381"/>
      <c r="O305" s="381"/>
      <c r="P305" s="381"/>
      <c r="Q305" s="381"/>
      <c r="R305" s="381"/>
    </row>
    <row r="306" spans="8:18" ht="13.5" hidden="1" thickTop="1">
      <c r="H306" s="381"/>
      <c r="I306" s="381"/>
      <c r="J306" s="381"/>
      <c r="K306" s="381"/>
      <c r="L306" s="381"/>
      <c r="M306" s="381"/>
      <c r="N306" s="381"/>
      <c r="O306" s="381"/>
      <c r="P306" s="381"/>
      <c r="Q306" s="381"/>
      <c r="R306" s="381"/>
    </row>
    <row r="307" spans="8:18" ht="13.5" hidden="1" thickTop="1">
      <c r="H307" s="381"/>
      <c r="I307" s="381"/>
      <c r="J307" s="381"/>
      <c r="K307" s="381"/>
      <c r="L307" s="381"/>
      <c r="M307" s="381"/>
      <c r="N307" s="381"/>
      <c r="O307" s="381"/>
      <c r="P307" s="381"/>
      <c r="Q307" s="381"/>
      <c r="R307" s="381"/>
    </row>
    <row r="308" spans="8:18" ht="13.5" hidden="1" thickTop="1">
      <c r="H308" s="381"/>
      <c r="I308" s="381"/>
      <c r="J308" s="381"/>
      <c r="K308" s="381"/>
      <c r="L308" s="381"/>
      <c r="M308" s="381"/>
      <c r="N308" s="381"/>
      <c r="O308" s="381"/>
      <c r="P308" s="381"/>
      <c r="Q308" s="381"/>
      <c r="R308" s="381"/>
    </row>
    <row r="309" spans="8:18" ht="13.5" hidden="1" thickTop="1">
      <c r="H309" s="381"/>
      <c r="I309" s="381"/>
      <c r="J309" s="381"/>
      <c r="K309" s="381"/>
      <c r="L309" s="381"/>
      <c r="M309" s="381"/>
      <c r="N309" s="381"/>
      <c r="O309" s="381"/>
      <c r="P309" s="381"/>
      <c r="Q309" s="381"/>
      <c r="R309" s="381"/>
    </row>
    <row r="310" spans="8:18" ht="13.5" hidden="1" thickTop="1">
      <c r="H310" s="381"/>
      <c r="I310" s="381"/>
      <c r="J310" s="381"/>
      <c r="K310" s="381"/>
      <c r="L310" s="381"/>
      <c r="M310" s="381"/>
      <c r="N310" s="381"/>
      <c r="O310" s="381"/>
      <c r="P310" s="381"/>
      <c r="Q310" s="381"/>
      <c r="R310" s="381"/>
    </row>
    <row r="311" spans="8:18" ht="13.5" hidden="1" thickTop="1">
      <c r="H311" s="381"/>
      <c r="I311" s="381"/>
      <c r="J311" s="381"/>
      <c r="K311" s="381"/>
      <c r="L311" s="381"/>
      <c r="M311" s="381"/>
      <c r="N311" s="381"/>
      <c r="O311" s="381"/>
      <c r="P311" s="381"/>
      <c r="Q311" s="381"/>
      <c r="R311" s="381"/>
    </row>
    <row r="312" spans="8:18" ht="13.5" hidden="1" thickTop="1">
      <c r="H312" s="381"/>
      <c r="I312" s="381"/>
      <c r="J312" s="381"/>
      <c r="K312" s="381"/>
      <c r="L312" s="381"/>
      <c r="M312" s="381"/>
      <c r="N312" s="381"/>
      <c r="O312" s="381"/>
      <c r="P312" s="381"/>
      <c r="Q312" s="381"/>
      <c r="R312" s="381"/>
    </row>
    <row r="313" spans="8:18" ht="13.5" hidden="1" thickTop="1">
      <c r="H313" s="381"/>
      <c r="I313" s="381"/>
      <c r="J313" s="381"/>
      <c r="K313" s="381"/>
      <c r="L313" s="381"/>
      <c r="M313" s="381"/>
      <c r="N313" s="381"/>
      <c r="P313" s="381"/>
      <c r="Q313" s="381"/>
      <c r="R313" s="381"/>
    </row>
    <row r="314" spans="8:14" ht="13.5" hidden="1" thickTop="1">
      <c r="H314" s="381"/>
      <c r="I314" s="381"/>
      <c r="J314" s="381"/>
      <c r="K314" s="381"/>
      <c r="L314" s="381"/>
      <c r="M314" s="381"/>
      <c r="N314" s="381"/>
    </row>
    <row r="315" spans="8:14" ht="13.5" hidden="1" thickTop="1">
      <c r="H315" s="381"/>
      <c r="I315" s="381"/>
      <c r="J315" s="381"/>
      <c r="K315" s="381"/>
      <c r="L315" s="381"/>
      <c r="M315" s="381"/>
      <c r="N315" s="381"/>
    </row>
    <row r="316" spans="8:14" ht="13.5" hidden="1" thickTop="1">
      <c r="H316" s="381"/>
      <c r="I316" s="381"/>
      <c r="J316" s="381"/>
      <c r="K316" s="381"/>
      <c r="L316" s="381"/>
      <c r="M316" s="381"/>
      <c r="N316" s="381"/>
    </row>
    <row r="317" spans="8:14" ht="13.5" hidden="1" thickTop="1">
      <c r="H317" s="381"/>
      <c r="I317" s="381"/>
      <c r="J317" s="381"/>
      <c r="K317" s="381"/>
      <c r="L317" s="381"/>
      <c r="M317" s="381"/>
      <c r="N317" s="381"/>
    </row>
    <row r="318" spans="8:14" ht="13.5" hidden="1" thickTop="1">
      <c r="H318" s="381"/>
      <c r="I318" s="381"/>
      <c r="J318" s="381"/>
      <c r="K318" s="381"/>
      <c r="L318" s="381"/>
      <c r="M318" s="381"/>
      <c r="N318" s="381"/>
    </row>
    <row r="319" spans="8:14" ht="13.5" hidden="1" thickTop="1">
      <c r="H319" s="381"/>
      <c r="I319" s="381"/>
      <c r="J319" s="381"/>
      <c r="K319" s="381"/>
      <c r="L319" s="381"/>
      <c r="M319" s="381"/>
      <c r="N319" s="381"/>
    </row>
    <row r="320" spans="8:14" ht="13.5" hidden="1" thickTop="1">
      <c r="H320" s="381"/>
      <c r="I320" s="381"/>
      <c r="J320" s="381"/>
      <c r="K320" s="381"/>
      <c r="L320" s="381"/>
      <c r="M320" s="381"/>
      <c r="N320" s="381"/>
    </row>
    <row r="321" spans="8:14" ht="13.5" hidden="1" thickTop="1">
      <c r="H321" s="381"/>
      <c r="I321" s="381"/>
      <c r="J321" s="381"/>
      <c r="K321" s="381"/>
      <c r="L321" s="381"/>
      <c r="M321" s="381"/>
      <c r="N321" s="381"/>
    </row>
    <row r="322" spans="8:14" ht="13.5" hidden="1" thickTop="1">
      <c r="H322" s="381"/>
      <c r="I322" s="381"/>
      <c r="J322" s="381"/>
      <c r="K322" s="381"/>
      <c r="L322" s="381"/>
      <c r="M322" s="381"/>
      <c r="N322" s="381"/>
    </row>
    <row r="323" spans="8:14" ht="13.5" hidden="1" thickTop="1">
      <c r="H323" s="381"/>
      <c r="I323" s="381"/>
      <c r="J323" s="381"/>
      <c r="K323" s="381"/>
      <c r="L323" s="381"/>
      <c r="M323" s="381"/>
      <c r="N323" s="381"/>
    </row>
    <row r="324" spans="8:14" ht="13.5" hidden="1" thickTop="1">
      <c r="H324" s="381"/>
      <c r="I324" s="381"/>
      <c r="J324" s="381"/>
      <c r="K324" s="381"/>
      <c r="L324" s="381"/>
      <c r="M324" s="381"/>
      <c r="N324" s="381"/>
    </row>
    <row r="325" spans="8:14" ht="13.5" hidden="1" thickTop="1">
      <c r="H325" s="381"/>
      <c r="I325" s="381"/>
      <c r="J325" s="381"/>
      <c r="K325" s="381"/>
      <c r="L325" s="381"/>
      <c r="M325" s="381"/>
      <c r="N325" s="381"/>
    </row>
    <row r="326" spans="8:14" ht="13.5" hidden="1" thickTop="1">
      <c r="H326" s="381"/>
      <c r="I326" s="381"/>
      <c r="J326" s="381"/>
      <c r="K326" s="381"/>
      <c r="L326" s="381"/>
      <c r="M326" s="381"/>
      <c r="N326" s="381"/>
    </row>
    <row r="327" spans="8:14" ht="13.5" hidden="1" thickTop="1">
      <c r="H327" s="381"/>
      <c r="I327" s="381"/>
      <c r="J327" s="381"/>
      <c r="K327" s="381"/>
      <c r="L327" s="381"/>
      <c r="M327" s="381"/>
      <c r="N327" s="381"/>
    </row>
    <row r="328" spans="8:14" ht="13.5" hidden="1" thickTop="1">
      <c r="H328" s="381"/>
      <c r="I328" s="381"/>
      <c r="J328" s="381"/>
      <c r="K328" s="381"/>
      <c r="L328" s="381"/>
      <c r="M328" s="381"/>
      <c r="N328" s="381"/>
    </row>
    <row r="329" spans="8:14" ht="13.5" hidden="1" thickTop="1">
      <c r="H329" s="381"/>
      <c r="I329" s="381"/>
      <c r="J329" s="381"/>
      <c r="K329" s="381"/>
      <c r="L329" s="381"/>
      <c r="M329" s="381"/>
      <c r="N329" s="381"/>
    </row>
    <row r="330" spans="8:14" ht="13.5" hidden="1" thickTop="1">
      <c r="H330" s="381"/>
      <c r="I330" s="381"/>
      <c r="J330" s="381"/>
      <c r="K330" s="381"/>
      <c r="L330" s="381"/>
      <c r="M330" s="381"/>
      <c r="N330" s="381"/>
    </row>
    <row r="331" spans="8:14" ht="13.5" hidden="1" thickTop="1">
      <c r="H331" s="381"/>
      <c r="I331" s="381"/>
      <c r="J331" s="381"/>
      <c r="K331" s="381"/>
      <c r="L331" s="381"/>
      <c r="M331" s="381"/>
      <c r="N331" s="381"/>
    </row>
    <row r="332" spans="8:14" ht="13.5" hidden="1" thickTop="1">
      <c r="H332" s="381"/>
      <c r="I332" s="381"/>
      <c r="J332" s="381"/>
      <c r="K332" s="381"/>
      <c r="L332" s="381"/>
      <c r="M332" s="381"/>
      <c r="N332" s="381"/>
    </row>
    <row r="333" spans="8:14" ht="13.5" hidden="1" thickTop="1">
      <c r="H333" s="381"/>
      <c r="I333" s="381"/>
      <c r="J333" s="381"/>
      <c r="K333" s="381"/>
      <c r="L333" s="381"/>
      <c r="M333" s="381"/>
      <c r="N333" s="381"/>
    </row>
    <row r="334" spans="8:14" ht="13.5" hidden="1" thickTop="1">
      <c r="H334" s="381"/>
      <c r="I334" s="381"/>
      <c r="J334" s="381"/>
      <c r="K334" s="381"/>
      <c r="L334" s="381"/>
      <c r="M334" s="381"/>
      <c r="N334" s="381"/>
    </row>
    <row r="335" spans="8:14" ht="13.5" hidden="1" thickTop="1">
      <c r="H335" s="381"/>
      <c r="I335" s="381"/>
      <c r="J335" s="381"/>
      <c r="K335" s="381"/>
      <c r="L335" s="381"/>
      <c r="M335" s="381"/>
      <c r="N335" s="381"/>
    </row>
    <row r="336" spans="8:14" ht="13.5" hidden="1" thickTop="1">
      <c r="H336" s="381"/>
      <c r="I336" s="381"/>
      <c r="J336" s="381"/>
      <c r="K336" s="381"/>
      <c r="L336" s="381"/>
      <c r="M336" s="381"/>
      <c r="N336" s="381"/>
    </row>
    <row r="337" spans="8:14" ht="13.5" hidden="1" thickTop="1">
      <c r="H337" s="381"/>
      <c r="I337" s="381"/>
      <c r="J337" s="381"/>
      <c r="K337" s="381"/>
      <c r="L337" s="381"/>
      <c r="M337" s="381"/>
      <c r="N337" s="381"/>
    </row>
    <row r="338" spans="8:14" ht="13.5" hidden="1" thickTop="1">
      <c r="H338" s="381"/>
      <c r="I338" s="381"/>
      <c r="J338" s="381"/>
      <c r="K338" s="381"/>
      <c r="L338" s="381"/>
      <c r="M338" s="381"/>
      <c r="N338" s="381"/>
    </row>
    <row r="339" spans="8:14" ht="13.5" hidden="1" thickTop="1">
      <c r="H339" s="381"/>
      <c r="I339" s="381"/>
      <c r="J339" s="381"/>
      <c r="K339" s="381"/>
      <c r="L339" s="381"/>
      <c r="M339" s="381"/>
      <c r="N339" s="381"/>
    </row>
    <row r="340" spans="8:14" ht="13.5" hidden="1" thickTop="1">
      <c r="H340" s="381"/>
      <c r="I340" s="381"/>
      <c r="J340" s="381"/>
      <c r="K340" s="381"/>
      <c r="L340" s="381"/>
      <c r="M340" s="381"/>
      <c r="N340" s="381"/>
    </row>
    <row r="341" spans="8:14" ht="13.5" hidden="1" thickTop="1">
      <c r="H341" s="381"/>
      <c r="I341" s="381"/>
      <c r="J341" s="381"/>
      <c r="K341" s="381"/>
      <c r="L341" s="381"/>
      <c r="M341" s="381"/>
      <c r="N341" s="381"/>
    </row>
    <row r="342" spans="8:14" ht="13.5" hidden="1" thickTop="1">
      <c r="H342" s="381"/>
      <c r="I342" s="381"/>
      <c r="J342" s="381"/>
      <c r="K342" s="381"/>
      <c r="L342" s="381"/>
      <c r="M342" s="381"/>
      <c r="N342" s="381"/>
    </row>
    <row r="343" spans="8:14" ht="13.5" hidden="1" thickTop="1">
      <c r="H343" s="381"/>
      <c r="I343" s="381"/>
      <c r="J343" s="381"/>
      <c r="K343" s="381"/>
      <c r="L343" s="381"/>
      <c r="M343" s="381"/>
      <c r="N343" s="381"/>
    </row>
    <row r="344" spans="8:14" ht="13.5" hidden="1" thickTop="1">
      <c r="H344" s="381"/>
      <c r="I344" s="381"/>
      <c r="J344" s="381"/>
      <c r="K344" s="381"/>
      <c r="L344" s="381"/>
      <c r="M344" s="381"/>
      <c r="N344" s="381"/>
    </row>
    <row r="345" spans="8:14" ht="13.5" hidden="1" thickTop="1">
      <c r="H345" s="381"/>
      <c r="I345" s="381"/>
      <c r="J345" s="381"/>
      <c r="K345" s="381"/>
      <c r="L345" s="381"/>
      <c r="M345" s="381"/>
      <c r="N345" s="381"/>
    </row>
    <row r="346" spans="8:14" ht="13.5" hidden="1" thickTop="1">
      <c r="H346" s="381"/>
      <c r="I346" s="381"/>
      <c r="J346" s="381"/>
      <c r="K346" s="381"/>
      <c r="L346" s="381"/>
      <c r="M346" s="381"/>
      <c r="N346" s="381"/>
    </row>
    <row r="347" spans="8:14" ht="13.5" hidden="1" thickTop="1">
      <c r="H347" s="381"/>
      <c r="I347" s="381"/>
      <c r="J347" s="381"/>
      <c r="K347" s="381"/>
      <c r="L347" s="381"/>
      <c r="M347" s="381"/>
      <c r="N347" s="381"/>
    </row>
    <row r="348" spans="8:14" ht="13.5" hidden="1" thickTop="1">
      <c r="H348" s="381"/>
      <c r="I348" s="381"/>
      <c r="J348" s="381"/>
      <c r="K348" s="381"/>
      <c r="L348" s="381"/>
      <c r="M348" s="381"/>
      <c r="N348" s="381"/>
    </row>
    <row r="349" spans="8:14" ht="13.5" hidden="1" thickTop="1">
      <c r="H349" s="381"/>
      <c r="I349" s="381"/>
      <c r="J349" s="381"/>
      <c r="K349" s="381"/>
      <c r="L349" s="381"/>
      <c r="M349" s="381"/>
      <c r="N349" s="381"/>
    </row>
    <row r="350" spans="8:14" ht="13.5" hidden="1" thickTop="1">
      <c r="H350" s="381"/>
      <c r="I350" s="381"/>
      <c r="J350" s="381"/>
      <c r="K350" s="381"/>
      <c r="L350" s="381"/>
      <c r="M350" s="381"/>
      <c r="N350" s="381"/>
    </row>
    <row r="351" spans="8:14" ht="13.5" hidden="1" thickTop="1">
      <c r="H351" s="381"/>
      <c r="I351" s="381"/>
      <c r="J351" s="381"/>
      <c r="K351" s="381"/>
      <c r="L351" s="381"/>
      <c r="M351" s="381"/>
      <c r="N351" s="381"/>
    </row>
    <row r="352" spans="8:14" ht="13.5" hidden="1" thickTop="1">
      <c r="H352" s="381"/>
      <c r="I352" s="381"/>
      <c r="J352" s="381"/>
      <c r="K352" s="381"/>
      <c r="L352" s="381"/>
      <c r="M352" s="381"/>
      <c r="N352" s="381"/>
    </row>
    <row r="353" spans="8:14" ht="13.5" hidden="1" thickTop="1">
      <c r="H353" s="381"/>
      <c r="I353" s="381"/>
      <c r="J353" s="381"/>
      <c r="K353" s="381"/>
      <c r="L353" s="381"/>
      <c r="M353" s="381"/>
      <c r="N353" s="381"/>
    </row>
    <row r="354" spans="8:14" ht="13.5" hidden="1" thickTop="1">
      <c r="H354" s="381"/>
      <c r="I354" s="381"/>
      <c r="J354" s="381"/>
      <c r="K354" s="381"/>
      <c r="L354" s="381"/>
      <c r="M354" s="381"/>
      <c r="N354" s="381"/>
    </row>
    <row r="355" spans="8:14" ht="13.5" hidden="1" thickTop="1">
      <c r="H355" s="381"/>
      <c r="I355" s="381"/>
      <c r="J355" s="381"/>
      <c r="K355" s="381"/>
      <c r="L355" s="381"/>
      <c r="M355" s="381"/>
      <c r="N355" s="381"/>
    </row>
    <row r="356" spans="8:14" ht="13.5" hidden="1" thickTop="1">
      <c r="H356" s="381"/>
      <c r="I356" s="381"/>
      <c r="J356" s="381"/>
      <c r="K356" s="381"/>
      <c r="L356" s="381"/>
      <c r="M356" s="381"/>
      <c r="N356" s="381"/>
    </row>
    <row r="357" spans="8:14" ht="13.5" hidden="1" thickTop="1">
      <c r="H357" s="381"/>
      <c r="I357" s="381"/>
      <c r="J357" s="381"/>
      <c r="K357" s="381"/>
      <c r="L357" s="381"/>
      <c r="M357" s="381"/>
      <c r="N357" s="381"/>
    </row>
    <row r="358" spans="8:14" ht="13.5" hidden="1" thickTop="1">
      <c r="H358" s="381"/>
      <c r="I358" s="381"/>
      <c r="J358" s="381"/>
      <c r="K358" s="381"/>
      <c r="L358" s="381"/>
      <c r="M358" s="381"/>
      <c r="N358" s="381"/>
    </row>
    <row r="359" spans="8:14" ht="13.5" hidden="1" thickTop="1">
      <c r="H359" s="381"/>
      <c r="I359" s="381"/>
      <c r="J359" s="381"/>
      <c r="K359" s="381"/>
      <c r="L359" s="381"/>
      <c r="M359" s="381"/>
      <c r="N359" s="381"/>
    </row>
    <row r="360" spans="8:14" ht="13.5" hidden="1" thickTop="1">
      <c r="H360" s="381"/>
      <c r="I360" s="381"/>
      <c r="J360" s="381"/>
      <c r="K360" s="381"/>
      <c r="L360" s="381"/>
      <c r="M360" s="381"/>
      <c r="N360" s="381"/>
    </row>
    <row r="361" spans="8:14" ht="13.5" hidden="1" thickTop="1">
      <c r="H361" s="381"/>
      <c r="I361" s="381"/>
      <c r="J361" s="381"/>
      <c r="K361" s="381"/>
      <c r="L361" s="381"/>
      <c r="M361" s="381"/>
      <c r="N361" s="381"/>
    </row>
    <row r="362" spans="8:14" ht="13.5" hidden="1" thickTop="1">
      <c r="H362" s="381"/>
      <c r="I362" s="381"/>
      <c r="J362" s="381"/>
      <c r="K362" s="381"/>
      <c r="L362" s="381"/>
      <c r="M362" s="381"/>
      <c r="N362" s="381"/>
    </row>
    <row r="363" spans="8:14" ht="13.5" hidden="1" thickTop="1">
      <c r="H363" s="381"/>
      <c r="I363" s="381"/>
      <c r="J363" s="381"/>
      <c r="K363" s="381"/>
      <c r="L363" s="381"/>
      <c r="M363" s="381"/>
      <c r="N363" s="381"/>
    </row>
    <row r="364" spans="8:14" ht="13.5" hidden="1" thickTop="1">
      <c r="H364" s="381"/>
      <c r="I364" s="381"/>
      <c r="J364" s="381"/>
      <c r="K364" s="381"/>
      <c r="L364" s="381"/>
      <c r="M364" s="381"/>
      <c r="N364" s="381"/>
    </row>
    <row r="365" spans="8:14" ht="13.5" hidden="1" thickTop="1">
      <c r="H365" s="381"/>
      <c r="I365" s="381"/>
      <c r="J365" s="381"/>
      <c r="K365" s="381"/>
      <c r="L365" s="381"/>
      <c r="M365" s="381"/>
      <c r="N365" s="381"/>
    </row>
    <row r="366" spans="8:14" ht="13.5" hidden="1" thickTop="1">
      <c r="H366" s="381"/>
      <c r="I366" s="381"/>
      <c r="J366" s="381"/>
      <c r="K366" s="381"/>
      <c r="L366" s="381"/>
      <c r="M366" s="381"/>
      <c r="N366" s="381"/>
    </row>
    <row r="367" spans="8:14" ht="13.5" hidden="1" thickTop="1">
      <c r="H367" s="381"/>
      <c r="I367" s="381"/>
      <c r="J367" s="381"/>
      <c r="K367" s="381"/>
      <c r="L367" s="381"/>
      <c r="M367" s="381"/>
      <c r="N367" s="381"/>
    </row>
    <row r="368" spans="8:14" ht="13.5" hidden="1" thickTop="1">
      <c r="H368" s="381"/>
      <c r="I368" s="381"/>
      <c r="J368" s="381"/>
      <c r="K368" s="381"/>
      <c r="L368" s="381"/>
      <c r="M368" s="381"/>
      <c r="N368" s="381"/>
    </row>
    <row r="369" spans="8:14" ht="13.5" hidden="1" thickTop="1">
      <c r="H369" s="381"/>
      <c r="I369" s="381"/>
      <c r="J369" s="381"/>
      <c r="K369" s="381"/>
      <c r="L369" s="381"/>
      <c r="M369" s="381"/>
      <c r="N369" s="381"/>
    </row>
    <row r="370" spans="8:14" ht="13.5" hidden="1" thickTop="1">
      <c r="H370" s="381"/>
      <c r="I370" s="381"/>
      <c r="J370" s="381"/>
      <c r="K370" s="381"/>
      <c r="L370" s="381"/>
      <c r="M370" s="381"/>
      <c r="N370" s="381"/>
    </row>
    <row r="371" spans="8:14" ht="13.5" hidden="1" thickTop="1">
      <c r="H371" s="381"/>
      <c r="I371" s="381"/>
      <c r="J371" s="381"/>
      <c r="K371" s="381"/>
      <c r="L371" s="381"/>
      <c r="M371" s="381"/>
      <c r="N371" s="381"/>
    </row>
    <row r="372" spans="8:14" ht="13.5" hidden="1" thickTop="1">
      <c r="H372" s="381"/>
      <c r="I372" s="381"/>
      <c r="J372" s="381"/>
      <c r="K372" s="381"/>
      <c r="L372" s="381"/>
      <c r="M372" s="381"/>
      <c r="N372" s="381"/>
    </row>
    <row r="373" spans="8:14" ht="13.5" hidden="1" thickTop="1">
      <c r="H373" s="381"/>
      <c r="I373" s="381"/>
      <c r="J373" s="381"/>
      <c r="K373" s="381"/>
      <c r="L373" s="381"/>
      <c r="M373" s="381"/>
      <c r="N373" s="381"/>
    </row>
    <row r="374" spans="8:14" ht="13.5" hidden="1" thickTop="1">
      <c r="H374" s="381"/>
      <c r="I374" s="381"/>
      <c r="J374" s="381"/>
      <c r="K374" s="381"/>
      <c r="L374" s="381"/>
      <c r="M374" s="381"/>
      <c r="N374" s="381"/>
    </row>
    <row r="375" spans="8:14" ht="13.5" hidden="1" thickTop="1">
      <c r="H375" s="381"/>
      <c r="I375" s="381"/>
      <c r="J375" s="381"/>
      <c r="K375" s="381"/>
      <c r="L375" s="381"/>
      <c r="M375" s="381"/>
      <c r="N375" s="381"/>
    </row>
    <row r="376" spans="8:14" ht="13.5" hidden="1" thickTop="1">
      <c r="H376" s="381"/>
      <c r="I376" s="381"/>
      <c r="J376" s="381"/>
      <c r="K376" s="381"/>
      <c r="L376" s="381"/>
      <c r="M376" s="381"/>
      <c r="N376" s="381"/>
    </row>
    <row r="377" spans="8:14" ht="13.5" hidden="1" thickTop="1">
      <c r="H377" s="381"/>
      <c r="I377" s="381"/>
      <c r="J377" s="381"/>
      <c r="K377" s="381"/>
      <c r="L377" s="381"/>
      <c r="M377" s="381"/>
      <c r="N377" s="381"/>
    </row>
    <row r="378" spans="8:14" ht="13.5" hidden="1" thickTop="1">
      <c r="H378" s="381"/>
      <c r="I378" s="381"/>
      <c r="J378" s="381"/>
      <c r="K378" s="381"/>
      <c r="L378" s="381"/>
      <c r="M378" s="381"/>
      <c r="N378" s="381"/>
    </row>
    <row r="379" spans="8:14" ht="13.5" hidden="1" thickTop="1">
      <c r="H379" s="381"/>
      <c r="I379" s="381"/>
      <c r="J379" s="381"/>
      <c r="K379" s="381"/>
      <c r="L379" s="381"/>
      <c r="M379" s="381"/>
      <c r="N379" s="381"/>
    </row>
    <row r="380" spans="8:14" ht="13.5" hidden="1" thickTop="1">
      <c r="H380" s="381"/>
      <c r="I380" s="381"/>
      <c r="J380" s="381"/>
      <c r="K380" s="381"/>
      <c r="L380" s="381"/>
      <c r="M380" s="381"/>
      <c r="N380" s="381"/>
    </row>
    <row r="381" spans="8:14" ht="13.5" hidden="1" thickTop="1">
      <c r="H381" s="381"/>
      <c r="I381" s="381"/>
      <c r="J381" s="381"/>
      <c r="K381" s="381"/>
      <c r="L381" s="381"/>
      <c r="M381" s="381"/>
      <c r="N381" s="381"/>
    </row>
    <row r="382" spans="8:14" ht="13.5" hidden="1" thickTop="1">
      <c r="H382" s="381"/>
      <c r="I382" s="381"/>
      <c r="J382" s="381"/>
      <c r="K382" s="381"/>
      <c r="L382" s="381"/>
      <c r="M382" s="381"/>
      <c r="N382" s="381"/>
    </row>
    <row r="383" spans="8:14" ht="13.5" hidden="1" thickTop="1">
      <c r="H383" s="381"/>
      <c r="I383" s="381"/>
      <c r="J383" s="381"/>
      <c r="K383" s="381"/>
      <c r="L383" s="381"/>
      <c r="M383" s="381"/>
      <c r="N383" s="381"/>
    </row>
    <row r="384" spans="8:14" ht="13.5" hidden="1" thickTop="1">
      <c r="H384" s="381"/>
      <c r="I384" s="381"/>
      <c r="J384" s="381"/>
      <c r="K384" s="381"/>
      <c r="L384" s="381"/>
      <c r="M384" s="381"/>
      <c r="N384" s="381"/>
    </row>
    <row r="385" spans="8:14" ht="13.5" hidden="1" thickTop="1">
      <c r="H385" s="381"/>
      <c r="I385" s="381"/>
      <c r="J385" s="381"/>
      <c r="K385" s="381"/>
      <c r="L385" s="381"/>
      <c r="M385" s="381"/>
      <c r="N385" s="381"/>
    </row>
    <row r="386" spans="8:14" ht="13.5" hidden="1" thickTop="1">
      <c r="H386" s="381"/>
      <c r="I386" s="381"/>
      <c r="J386" s="381"/>
      <c r="K386" s="381"/>
      <c r="L386" s="381"/>
      <c r="M386" s="381"/>
      <c r="N386" s="381"/>
    </row>
    <row r="387" spans="8:14" ht="13.5" hidden="1" thickTop="1">
      <c r="H387" s="381"/>
      <c r="I387" s="381"/>
      <c r="J387" s="381"/>
      <c r="K387" s="381"/>
      <c r="L387" s="381"/>
      <c r="M387" s="381"/>
      <c r="N387" s="381"/>
    </row>
    <row r="388" spans="8:14" ht="13.5" hidden="1" thickTop="1">
      <c r="H388" s="381"/>
      <c r="I388" s="381"/>
      <c r="J388" s="381"/>
      <c r="K388" s="381"/>
      <c r="L388" s="381"/>
      <c r="M388" s="381"/>
      <c r="N388" s="381"/>
    </row>
    <row r="389" spans="8:14" ht="13.5" hidden="1" thickTop="1">
      <c r="H389" s="381"/>
      <c r="I389" s="381"/>
      <c r="J389" s="381"/>
      <c r="K389" s="381"/>
      <c r="L389" s="381"/>
      <c r="M389" s="381"/>
      <c r="N389" s="381"/>
    </row>
    <row r="390" spans="8:14" ht="13.5" hidden="1" thickTop="1">
      <c r="H390" s="381"/>
      <c r="I390" s="381"/>
      <c r="J390" s="381"/>
      <c r="K390" s="381"/>
      <c r="L390" s="381"/>
      <c r="M390" s="381"/>
      <c r="N390" s="381"/>
    </row>
    <row r="391" spans="8:14" ht="13.5" hidden="1" thickTop="1">
      <c r="H391" s="381"/>
      <c r="I391" s="381"/>
      <c r="J391" s="381"/>
      <c r="K391" s="381"/>
      <c r="L391" s="381"/>
      <c r="M391" s="381"/>
      <c r="N391" s="381"/>
    </row>
    <row r="392" spans="8:14" ht="13.5" hidden="1" thickTop="1">
      <c r="H392" s="381"/>
      <c r="I392" s="381"/>
      <c r="J392" s="381"/>
      <c r="K392" s="381"/>
      <c r="L392" s="381"/>
      <c r="M392" s="381"/>
      <c r="N392" s="381"/>
    </row>
    <row r="393" spans="8:14" ht="13.5" hidden="1" thickTop="1">
      <c r="H393" s="381"/>
      <c r="I393" s="381"/>
      <c r="J393" s="381"/>
      <c r="K393" s="381"/>
      <c r="L393" s="381"/>
      <c r="M393" s="381"/>
      <c r="N393" s="381"/>
    </row>
    <row r="394" spans="8:14" ht="13.5" hidden="1" thickTop="1">
      <c r="H394" s="381"/>
      <c r="I394" s="381"/>
      <c r="J394" s="381"/>
      <c r="K394" s="381"/>
      <c r="L394" s="381"/>
      <c r="M394" s="381"/>
      <c r="N394" s="381"/>
    </row>
    <row r="395" spans="8:14" ht="13.5" hidden="1" thickTop="1">
      <c r="H395" s="381"/>
      <c r="I395" s="381"/>
      <c r="J395" s="381"/>
      <c r="K395" s="381"/>
      <c r="L395" s="381"/>
      <c r="M395" s="381"/>
      <c r="N395" s="381"/>
    </row>
    <row r="396" spans="8:14" ht="13.5" hidden="1" thickTop="1">
      <c r="H396" s="381"/>
      <c r="I396" s="381"/>
      <c r="J396" s="381"/>
      <c r="K396" s="381"/>
      <c r="L396" s="381"/>
      <c r="M396" s="381"/>
      <c r="N396" s="381"/>
    </row>
    <row r="397" spans="8:14" ht="13.5" hidden="1" thickTop="1">
      <c r="H397" s="381"/>
      <c r="I397" s="381"/>
      <c r="J397" s="381"/>
      <c r="K397" s="381"/>
      <c r="L397" s="381"/>
      <c r="M397" s="381"/>
      <c r="N397" s="381"/>
    </row>
    <row r="398" spans="8:14" ht="13.5" hidden="1" thickTop="1">
      <c r="H398" s="381"/>
      <c r="I398" s="381"/>
      <c r="J398" s="381"/>
      <c r="K398" s="381"/>
      <c r="L398" s="381"/>
      <c r="M398" s="381"/>
      <c r="N398" s="381"/>
    </row>
    <row r="399" spans="8:14" ht="13.5" hidden="1" thickTop="1">
      <c r="H399" s="381"/>
      <c r="I399" s="381"/>
      <c r="J399" s="381"/>
      <c r="K399" s="381"/>
      <c r="L399" s="381"/>
      <c r="M399" s="381"/>
      <c r="N399" s="381"/>
    </row>
    <row r="400" spans="8:14" ht="13.5" hidden="1" thickTop="1">
      <c r="H400" s="381"/>
      <c r="I400" s="381"/>
      <c r="J400" s="381"/>
      <c r="K400" s="381"/>
      <c r="L400" s="381"/>
      <c r="M400" s="381"/>
      <c r="N400" s="381"/>
    </row>
    <row r="401" spans="8:14" ht="13.5" hidden="1" thickTop="1">
      <c r="H401" s="381"/>
      <c r="I401" s="381"/>
      <c r="J401" s="381"/>
      <c r="K401" s="381"/>
      <c r="L401" s="381"/>
      <c r="M401" s="381"/>
      <c r="N401" s="381"/>
    </row>
    <row r="402" spans="8:14" ht="13.5" hidden="1" thickTop="1">
      <c r="H402" s="381"/>
      <c r="I402" s="381"/>
      <c r="J402" s="381"/>
      <c r="K402" s="381"/>
      <c r="L402" s="381"/>
      <c r="M402" s="381"/>
      <c r="N402" s="381"/>
    </row>
    <row r="403" spans="8:14" ht="13.5" hidden="1" thickTop="1">
      <c r="H403" s="381"/>
      <c r="I403" s="381"/>
      <c r="J403" s="381"/>
      <c r="K403" s="381"/>
      <c r="L403" s="381"/>
      <c r="M403" s="381"/>
      <c r="N403" s="381"/>
    </row>
    <row r="404" spans="8:14" ht="13.5" hidden="1" thickTop="1">
      <c r="H404" s="381"/>
      <c r="I404" s="381"/>
      <c r="J404" s="381"/>
      <c r="K404" s="381"/>
      <c r="L404" s="381"/>
      <c r="M404" s="381"/>
      <c r="N404" s="381"/>
    </row>
    <row r="405" spans="8:14" ht="13.5" hidden="1" thickTop="1">
      <c r="H405" s="381"/>
      <c r="I405" s="381"/>
      <c r="J405" s="381"/>
      <c r="K405" s="381"/>
      <c r="L405" s="381"/>
      <c r="M405" s="381"/>
      <c r="N405" s="381"/>
    </row>
    <row r="406" spans="8:14" ht="13.5" hidden="1" thickTop="1">
      <c r="H406" s="381"/>
      <c r="I406" s="381"/>
      <c r="J406" s="381"/>
      <c r="K406" s="381"/>
      <c r="L406" s="381"/>
      <c r="M406" s="381"/>
      <c r="N406" s="381"/>
    </row>
    <row r="407" spans="8:14" ht="13.5" hidden="1" thickTop="1">
      <c r="H407" s="381"/>
      <c r="I407" s="381"/>
      <c r="J407" s="381"/>
      <c r="K407" s="381"/>
      <c r="L407" s="381"/>
      <c r="M407" s="381"/>
      <c r="N407" s="381"/>
    </row>
    <row r="408" spans="8:14" ht="13.5" hidden="1" thickTop="1">
      <c r="H408" s="381"/>
      <c r="I408" s="381"/>
      <c r="J408" s="381"/>
      <c r="K408" s="381"/>
      <c r="L408" s="381"/>
      <c r="M408" s="381"/>
      <c r="N408" s="381"/>
    </row>
    <row r="409" spans="8:14" ht="13.5" hidden="1" thickTop="1">
      <c r="H409" s="381"/>
      <c r="I409" s="381"/>
      <c r="J409" s="381"/>
      <c r="K409" s="381"/>
      <c r="L409" s="381"/>
      <c r="M409" s="381"/>
      <c r="N409" s="381"/>
    </row>
    <row r="410" spans="8:14" ht="13.5" hidden="1" thickTop="1">
      <c r="H410" s="381"/>
      <c r="I410" s="381"/>
      <c r="J410" s="381"/>
      <c r="K410" s="381"/>
      <c r="L410" s="381"/>
      <c r="M410" s="381"/>
      <c r="N410" s="381"/>
    </row>
    <row r="411" spans="8:14" ht="13.5" hidden="1" thickTop="1">
      <c r="H411" s="381"/>
      <c r="I411" s="381"/>
      <c r="J411" s="381"/>
      <c r="K411" s="381"/>
      <c r="L411" s="381"/>
      <c r="M411" s="381"/>
      <c r="N411" s="381"/>
    </row>
    <row r="412" spans="8:14" ht="13.5" hidden="1" thickTop="1">
      <c r="H412" s="381"/>
      <c r="I412" s="381"/>
      <c r="J412" s="381"/>
      <c r="K412" s="381"/>
      <c r="L412" s="381"/>
      <c r="M412" s="381"/>
      <c r="N412" s="381"/>
    </row>
    <row r="413" spans="8:14" ht="13.5" hidden="1" thickTop="1">
      <c r="H413" s="381"/>
      <c r="I413" s="381"/>
      <c r="J413" s="381"/>
      <c r="K413" s="381"/>
      <c r="L413" s="381"/>
      <c r="M413" s="381"/>
      <c r="N413" s="381"/>
    </row>
    <row r="414" spans="8:14" ht="13.5" hidden="1" thickTop="1">
      <c r="H414" s="381"/>
      <c r="I414" s="381"/>
      <c r="J414" s="381"/>
      <c r="K414" s="381"/>
      <c r="L414" s="381"/>
      <c r="M414" s="381"/>
      <c r="N414" s="381"/>
    </row>
    <row r="415" spans="8:14" ht="13.5" hidden="1" thickTop="1">
      <c r="H415" s="381"/>
      <c r="I415" s="381"/>
      <c r="J415" s="381"/>
      <c r="K415" s="381"/>
      <c r="L415" s="381"/>
      <c r="M415" s="381"/>
      <c r="N415" s="381"/>
    </row>
    <row r="416" spans="8:14" ht="13.5" hidden="1" thickTop="1">
      <c r="H416" s="381"/>
      <c r="I416" s="381"/>
      <c r="J416" s="381"/>
      <c r="K416" s="381"/>
      <c r="L416" s="381"/>
      <c r="M416" s="381"/>
      <c r="N416" s="381"/>
    </row>
    <row r="417" spans="8:14" ht="13.5" hidden="1" thickTop="1">
      <c r="H417" s="381"/>
      <c r="I417" s="381"/>
      <c r="J417" s="381"/>
      <c r="K417" s="381"/>
      <c r="L417" s="381"/>
      <c r="M417" s="381"/>
      <c r="N417" s="381"/>
    </row>
    <row r="418" spans="8:14" ht="13.5" hidden="1" thickTop="1">
      <c r="H418" s="381"/>
      <c r="I418" s="381"/>
      <c r="J418" s="381"/>
      <c r="K418" s="381"/>
      <c r="L418" s="381"/>
      <c r="M418" s="381"/>
      <c r="N418" s="381"/>
    </row>
    <row r="419" spans="8:14" ht="13.5" hidden="1" thickTop="1">
      <c r="H419" s="381"/>
      <c r="I419" s="381"/>
      <c r="J419" s="381"/>
      <c r="K419" s="381"/>
      <c r="L419" s="381"/>
      <c r="M419" s="381"/>
      <c r="N419" s="381"/>
    </row>
    <row r="420" spans="8:14" ht="13.5" hidden="1" thickTop="1">
      <c r="H420" s="381"/>
      <c r="I420" s="381"/>
      <c r="J420" s="381"/>
      <c r="K420" s="381"/>
      <c r="L420" s="381"/>
      <c r="M420" s="381"/>
      <c r="N420" s="381"/>
    </row>
    <row r="421" spans="8:14" ht="13.5" hidden="1" thickTop="1">
      <c r="H421" s="381"/>
      <c r="I421" s="381"/>
      <c r="J421" s="381"/>
      <c r="K421" s="381"/>
      <c r="L421" s="381"/>
      <c r="M421" s="381"/>
      <c r="N421" s="381"/>
    </row>
    <row r="422" spans="8:14" ht="13.5" hidden="1" thickTop="1">
      <c r="H422" s="381"/>
      <c r="I422" s="381"/>
      <c r="J422" s="381"/>
      <c r="K422" s="381"/>
      <c r="L422" s="381"/>
      <c r="M422" s="381"/>
      <c r="N422" s="381"/>
    </row>
    <row r="423" spans="8:14" ht="13.5" hidden="1" thickTop="1">
      <c r="H423" s="381"/>
      <c r="I423" s="381"/>
      <c r="J423" s="381"/>
      <c r="K423" s="381"/>
      <c r="L423" s="381"/>
      <c r="M423" s="381"/>
      <c r="N423" s="381"/>
    </row>
    <row r="424" spans="8:14" ht="13.5" hidden="1" thickTop="1">
      <c r="H424" s="381"/>
      <c r="I424" s="381"/>
      <c r="J424" s="381"/>
      <c r="K424" s="381"/>
      <c r="L424" s="381"/>
      <c r="M424" s="381"/>
      <c r="N424" s="381"/>
    </row>
    <row r="425" spans="8:14" ht="13.5" hidden="1" thickTop="1">
      <c r="H425" s="381"/>
      <c r="I425" s="381"/>
      <c r="J425" s="381"/>
      <c r="K425" s="381"/>
      <c r="L425" s="381"/>
      <c r="M425" s="381"/>
      <c r="N425" s="381"/>
    </row>
    <row r="426" spans="8:14" ht="13.5" hidden="1" thickTop="1">
      <c r="H426" s="381"/>
      <c r="I426" s="381"/>
      <c r="J426" s="381"/>
      <c r="K426" s="381"/>
      <c r="L426" s="381"/>
      <c r="M426" s="381"/>
      <c r="N426" s="381"/>
    </row>
    <row r="427" spans="8:14" ht="13.5" hidden="1" thickTop="1">
      <c r="H427" s="381"/>
      <c r="I427" s="381"/>
      <c r="J427" s="381"/>
      <c r="K427" s="381"/>
      <c r="L427" s="381"/>
      <c r="M427" s="381"/>
      <c r="N427" s="381"/>
    </row>
    <row r="428" spans="8:14" ht="13.5" hidden="1" thickTop="1">
      <c r="H428" s="381"/>
      <c r="I428" s="381"/>
      <c r="J428" s="381"/>
      <c r="K428" s="381"/>
      <c r="L428" s="381"/>
      <c r="M428" s="381"/>
      <c r="N428" s="381"/>
    </row>
    <row r="429" spans="8:14" ht="13.5" hidden="1" thickTop="1">
      <c r="H429" s="381"/>
      <c r="I429" s="381"/>
      <c r="J429" s="381"/>
      <c r="K429" s="381"/>
      <c r="L429" s="381"/>
      <c r="M429" s="381"/>
      <c r="N429" s="381"/>
    </row>
    <row r="430" spans="8:14" ht="13.5" hidden="1" thickTop="1">
      <c r="H430" s="381"/>
      <c r="I430" s="381"/>
      <c r="J430" s="381"/>
      <c r="K430" s="381"/>
      <c r="L430" s="381"/>
      <c r="M430" s="381"/>
      <c r="N430" s="381"/>
    </row>
    <row r="431" spans="8:14" ht="13.5" hidden="1" thickTop="1">
      <c r="H431" s="381"/>
      <c r="I431" s="381"/>
      <c r="J431" s="381"/>
      <c r="K431" s="381"/>
      <c r="L431" s="381"/>
      <c r="M431" s="381"/>
      <c r="N431" s="381"/>
    </row>
    <row r="432" spans="8:14" ht="13.5" hidden="1" thickTop="1">
      <c r="H432" s="381"/>
      <c r="I432" s="381"/>
      <c r="J432" s="381"/>
      <c r="K432" s="381"/>
      <c r="L432" s="381"/>
      <c r="M432" s="381"/>
      <c r="N432" s="381"/>
    </row>
    <row r="433" spans="8:14" ht="13.5" hidden="1" thickTop="1">
      <c r="H433" s="381"/>
      <c r="I433" s="381"/>
      <c r="J433" s="381"/>
      <c r="K433" s="381"/>
      <c r="L433" s="381"/>
      <c r="M433" s="381"/>
      <c r="N433" s="381"/>
    </row>
    <row r="434" spans="8:14" ht="13.5" hidden="1" thickTop="1">
      <c r="H434" s="381"/>
      <c r="I434" s="381"/>
      <c r="J434" s="381"/>
      <c r="K434" s="381"/>
      <c r="L434" s="381"/>
      <c r="M434" s="381"/>
      <c r="N434" s="381"/>
    </row>
    <row r="435" spans="8:14" ht="13.5" hidden="1" thickTop="1">
      <c r="H435" s="381"/>
      <c r="I435" s="381"/>
      <c r="J435" s="381"/>
      <c r="K435" s="381"/>
      <c r="L435" s="381"/>
      <c r="M435" s="381"/>
      <c r="N435" s="381"/>
    </row>
    <row r="436" spans="8:14" ht="13.5" hidden="1" thickTop="1">
      <c r="H436" s="381"/>
      <c r="I436" s="381"/>
      <c r="J436" s="381"/>
      <c r="K436" s="381"/>
      <c r="L436" s="381"/>
      <c r="M436" s="381"/>
      <c r="N436" s="381"/>
    </row>
    <row r="437" spans="8:14" ht="13.5" hidden="1" thickTop="1">
      <c r="H437" s="381"/>
      <c r="I437" s="381"/>
      <c r="J437" s="381"/>
      <c r="K437" s="381"/>
      <c r="L437" s="381"/>
      <c r="M437" s="381"/>
      <c r="N437" s="381"/>
    </row>
    <row r="438" spans="8:14" ht="13.5" hidden="1" thickTop="1">
      <c r="H438" s="381"/>
      <c r="I438" s="381"/>
      <c r="J438" s="381"/>
      <c r="K438" s="381"/>
      <c r="L438" s="381"/>
      <c r="M438" s="381"/>
      <c r="N438" s="381"/>
    </row>
    <row r="439" spans="8:14" ht="13.5" hidden="1" thickTop="1">
      <c r="H439" s="381"/>
      <c r="I439" s="381"/>
      <c r="J439" s="381"/>
      <c r="K439" s="381"/>
      <c r="L439" s="381"/>
      <c r="M439" s="381"/>
      <c r="N439" s="381"/>
    </row>
    <row r="440" spans="8:14" ht="13.5" hidden="1" thickTop="1">
      <c r="H440" s="381"/>
      <c r="I440" s="381"/>
      <c r="J440" s="381"/>
      <c r="K440" s="381"/>
      <c r="L440" s="381"/>
      <c r="M440" s="381"/>
      <c r="N440" s="381"/>
    </row>
    <row r="441" spans="8:14" ht="13.5" hidden="1" thickTop="1">
      <c r="H441" s="381"/>
      <c r="I441" s="381"/>
      <c r="J441" s="381"/>
      <c r="K441" s="381"/>
      <c r="L441" s="381"/>
      <c r="M441" s="381"/>
      <c r="N441" s="381"/>
    </row>
    <row r="442" spans="8:14" ht="13.5" hidden="1" thickTop="1">
      <c r="H442" s="381"/>
      <c r="I442" s="381"/>
      <c r="J442" s="381"/>
      <c r="K442" s="381"/>
      <c r="L442" s="381"/>
      <c r="M442" s="381"/>
      <c r="N442" s="381"/>
    </row>
    <row r="443" spans="8:14" ht="13.5" hidden="1" thickTop="1">
      <c r="H443" s="381"/>
      <c r="I443" s="381"/>
      <c r="J443" s="381"/>
      <c r="K443" s="381"/>
      <c r="L443" s="381"/>
      <c r="M443" s="381"/>
      <c r="N443" s="381"/>
    </row>
    <row r="444" spans="8:14" ht="13.5" hidden="1" thickTop="1">
      <c r="H444" s="381"/>
      <c r="I444" s="381"/>
      <c r="J444" s="381"/>
      <c r="K444" s="381"/>
      <c r="L444" s="381"/>
      <c r="M444" s="381"/>
      <c r="N444" s="381"/>
    </row>
    <row r="445" spans="8:14" ht="13.5" hidden="1" thickTop="1">
      <c r="H445" s="381"/>
      <c r="I445" s="381"/>
      <c r="J445" s="381"/>
      <c r="K445" s="381"/>
      <c r="L445" s="381"/>
      <c r="M445" s="381"/>
      <c r="N445" s="381"/>
    </row>
    <row r="446" spans="8:14" ht="13.5" hidden="1" thickTop="1">
      <c r="H446" s="381"/>
      <c r="I446" s="381"/>
      <c r="J446" s="381"/>
      <c r="K446" s="381"/>
      <c r="L446" s="381"/>
      <c r="M446" s="381"/>
      <c r="N446" s="381"/>
    </row>
    <row r="447" spans="8:14" ht="13.5" hidden="1" thickTop="1">
      <c r="H447" s="381"/>
      <c r="I447" s="381"/>
      <c r="J447" s="381"/>
      <c r="K447" s="381"/>
      <c r="L447" s="381"/>
      <c r="M447" s="381"/>
      <c r="N447" s="381"/>
    </row>
    <row r="448" spans="8:14" ht="13.5" hidden="1" thickTop="1">
      <c r="H448" s="381"/>
      <c r="I448" s="381"/>
      <c r="J448" s="381"/>
      <c r="K448" s="381"/>
      <c r="L448" s="381"/>
      <c r="M448" s="381"/>
      <c r="N448" s="381"/>
    </row>
    <row r="449" spans="8:14" ht="13.5" hidden="1" thickTop="1">
      <c r="H449" s="381"/>
      <c r="I449" s="381"/>
      <c r="J449" s="381"/>
      <c r="K449" s="381"/>
      <c r="L449" s="381"/>
      <c r="M449" s="381"/>
      <c r="N449" s="381"/>
    </row>
    <row r="450" spans="8:14" ht="13.5" hidden="1" thickTop="1">
      <c r="H450" s="381"/>
      <c r="I450" s="381"/>
      <c r="J450" s="381"/>
      <c r="K450" s="381"/>
      <c r="L450" s="381"/>
      <c r="M450" s="381"/>
      <c r="N450" s="381"/>
    </row>
    <row r="451" spans="8:14" ht="13.5" hidden="1" thickTop="1">
      <c r="H451" s="381"/>
      <c r="I451" s="381"/>
      <c r="J451" s="381"/>
      <c r="K451" s="381"/>
      <c r="L451" s="381"/>
      <c r="M451" s="381"/>
      <c r="N451" s="381"/>
    </row>
    <row r="452" spans="8:14" ht="13.5" hidden="1" thickTop="1">
      <c r="H452" s="381"/>
      <c r="I452" s="381"/>
      <c r="J452" s="381"/>
      <c r="K452" s="381"/>
      <c r="L452" s="381"/>
      <c r="M452" s="381"/>
      <c r="N452" s="381"/>
    </row>
    <row r="453" spans="8:14" ht="13.5" hidden="1" thickTop="1">
      <c r="H453" s="381"/>
      <c r="I453" s="381"/>
      <c r="J453" s="381"/>
      <c r="K453" s="381"/>
      <c r="L453" s="381"/>
      <c r="M453" s="381"/>
      <c r="N453" s="381"/>
    </row>
    <row r="454" spans="8:14" ht="13.5" hidden="1" thickTop="1">
      <c r="H454" s="381"/>
      <c r="I454" s="381"/>
      <c r="J454" s="381"/>
      <c r="K454" s="381"/>
      <c r="L454" s="381"/>
      <c r="M454" s="381"/>
      <c r="N454" s="381"/>
    </row>
    <row r="455" spans="8:14" ht="13.5" hidden="1" thickTop="1">
      <c r="H455" s="381"/>
      <c r="I455" s="381"/>
      <c r="J455" s="381"/>
      <c r="K455" s="381"/>
      <c r="L455" s="381"/>
      <c r="M455" s="381"/>
      <c r="N455" s="381"/>
    </row>
    <row r="456" spans="8:14" ht="13.5" hidden="1" thickTop="1">
      <c r="H456" s="381"/>
      <c r="I456" s="381"/>
      <c r="J456" s="381"/>
      <c r="K456" s="381"/>
      <c r="L456" s="381"/>
      <c r="M456" s="381"/>
      <c r="N456" s="381"/>
    </row>
    <row r="457" spans="8:14" ht="13.5" hidden="1" thickTop="1">
      <c r="H457" s="381"/>
      <c r="I457" s="381"/>
      <c r="J457" s="381"/>
      <c r="K457" s="381"/>
      <c r="L457" s="381"/>
      <c r="M457" s="381"/>
      <c r="N457" s="381"/>
    </row>
    <row r="458" spans="8:14" ht="13.5" hidden="1" thickTop="1">
      <c r="H458" s="381"/>
      <c r="I458" s="381"/>
      <c r="J458" s="381"/>
      <c r="K458" s="381"/>
      <c r="L458" s="381"/>
      <c r="M458" s="381"/>
      <c r="N458" s="381"/>
    </row>
    <row r="459" spans="8:14" ht="13.5" hidden="1" thickTop="1">
      <c r="H459" s="381"/>
      <c r="I459" s="381"/>
      <c r="J459" s="381"/>
      <c r="K459" s="381"/>
      <c r="L459" s="381"/>
      <c r="M459" s="381"/>
      <c r="N459" s="381"/>
    </row>
    <row r="460" spans="8:14" ht="13.5" hidden="1" thickTop="1">
      <c r="H460" s="381"/>
      <c r="I460" s="381"/>
      <c r="J460" s="381"/>
      <c r="K460" s="381"/>
      <c r="L460" s="381"/>
      <c r="M460" s="381"/>
      <c r="N460" s="381"/>
    </row>
    <row r="461" spans="8:14" ht="13.5" hidden="1" thickTop="1">
      <c r="H461" s="381"/>
      <c r="I461" s="381"/>
      <c r="J461" s="381"/>
      <c r="K461" s="381"/>
      <c r="L461" s="381"/>
      <c r="M461" s="381"/>
      <c r="N461" s="381"/>
    </row>
    <row r="462" spans="8:14" ht="13.5" hidden="1" thickTop="1">
      <c r="H462" s="381"/>
      <c r="I462" s="381"/>
      <c r="J462" s="381"/>
      <c r="K462" s="381"/>
      <c r="L462" s="381"/>
      <c r="M462" s="381"/>
      <c r="N462" s="381"/>
    </row>
    <row r="463" spans="8:14" ht="13.5" hidden="1" thickTop="1">
      <c r="H463" s="381"/>
      <c r="I463" s="381"/>
      <c r="J463" s="381"/>
      <c r="K463" s="381"/>
      <c r="L463" s="381"/>
      <c r="M463" s="381"/>
      <c r="N463" s="381"/>
    </row>
    <row r="464" spans="8:14" ht="13.5" hidden="1" thickTop="1">
      <c r="H464" s="381"/>
      <c r="I464" s="381"/>
      <c r="J464" s="381"/>
      <c r="K464" s="381"/>
      <c r="L464" s="381"/>
      <c r="M464" s="381"/>
      <c r="N464" s="381"/>
    </row>
    <row r="465" spans="8:14" ht="13.5" hidden="1" thickTop="1">
      <c r="H465" s="381"/>
      <c r="I465" s="381"/>
      <c r="J465" s="381"/>
      <c r="K465" s="381"/>
      <c r="L465" s="381"/>
      <c r="M465" s="381"/>
      <c r="N465" s="381"/>
    </row>
    <row r="466" spans="8:14" ht="13.5" hidden="1" thickTop="1">
      <c r="H466" s="381"/>
      <c r="I466" s="381"/>
      <c r="J466" s="381"/>
      <c r="K466" s="381"/>
      <c r="L466" s="381"/>
      <c r="M466" s="381"/>
      <c r="N466" s="381"/>
    </row>
    <row r="467" spans="8:14" ht="13.5" hidden="1" thickTop="1">
      <c r="H467" s="381"/>
      <c r="I467" s="381"/>
      <c r="J467" s="381"/>
      <c r="K467" s="381"/>
      <c r="L467" s="381"/>
      <c r="M467" s="381"/>
      <c r="N467" s="381"/>
    </row>
    <row r="468" spans="8:14" ht="13.5" hidden="1" thickTop="1">
      <c r="H468" s="381"/>
      <c r="I468" s="381"/>
      <c r="J468" s="381"/>
      <c r="K468" s="381"/>
      <c r="L468" s="381"/>
      <c r="M468" s="381"/>
      <c r="N468" s="381"/>
    </row>
    <row r="469" spans="8:14" ht="13.5" hidden="1" thickTop="1">
      <c r="H469" s="381"/>
      <c r="I469" s="381"/>
      <c r="J469" s="381"/>
      <c r="K469" s="381"/>
      <c r="L469" s="381"/>
      <c r="M469" s="381"/>
      <c r="N469" s="381"/>
    </row>
    <row r="470" spans="8:14" ht="13.5" hidden="1" thickTop="1">
      <c r="H470" s="381"/>
      <c r="I470" s="381"/>
      <c r="J470" s="381"/>
      <c r="K470" s="381"/>
      <c r="L470" s="381"/>
      <c r="M470" s="381"/>
      <c r="N470" s="381"/>
    </row>
    <row r="471" spans="8:14" ht="13.5" hidden="1" thickTop="1">
      <c r="H471" s="381"/>
      <c r="I471" s="381"/>
      <c r="J471" s="381"/>
      <c r="K471" s="381"/>
      <c r="L471" s="381"/>
      <c r="M471" s="381"/>
      <c r="N471" s="381"/>
    </row>
    <row r="472" spans="8:14" ht="13.5" hidden="1" thickTop="1">
      <c r="H472" s="381"/>
      <c r="I472" s="381"/>
      <c r="J472" s="381"/>
      <c r="K472" s="381"/>
      <c r="L472" s="381"/>
      <c r="M472" s="381"/>
      <c r="N472" s="381"/>
    </row>
    <row r="473" spans="8:14" ht="13.5" hidden="1" thickTop="1">
      <c r="H473" s="381"/>
      <c r="I473" s="381"/>
      <c r="J473" s="381"/>
      <c r="K473" s="381"/>
      <c r="L473" s="381"/>
      <c r="M473" s="381"/>
      <c r="N473" s="381"/>
    </row>
    <row r="474" spans="8:14" ht="13.5" hidden="1" thickTop="1">
      <c r="H474" s="381"/>
      <c r="I474" s="381"/>
      <c r="J474" s="381"/>
      <c r="K474" s="381"/>
      <c r="L474" s="381"/>
      <c r="M474" s="381"/>
      <c r="N474" s="381"/>
    </row>
    <row r="475" spans="8:14" ht="13.5" hidden="1" thickTop="1">
      <c r="H475" s="381"/>
      <c r="I475" s="381"/>
      <c r="J475" s="381"/>
      <c r="K475" s="381"/>
      <c r="L475" s="381"/>
      <c r="M475" s="381"/>
      <c r="N475" s="381"/>
    </row>
    <row r="476" spans="8:14" ht="13.5" hidden="1" thickTop="1">
      <c r="H476" s="381"/>
      <c r="I476" s="381"/>
      <c r="J476" s="381"/>
      <c r="K476" s="381"/>
      <c r="L476" s="381"/>
      <c r="M476" s="381"/>
      <c r="N476" s="381"/>
    </row>
    <row r="477" spans="8:14" ht="13.5" hidden="1" thickTop="1">
      <c r="H477" s="381"/>
      <c r="I477" s="381"/>
      <c r="J477" s="381"/>
      <c r="K477" s="381"/>
      <c r="L477" s="381"/>
      <c r="M477" s="381"/>
      <c r="N477" s="381"/>
    </row>
    <row r="478" spans="8:14" ht="13.5" hidden="1" thickTop="1">
      <c r="H478" s="381"/>
      <c r="I478" s="381"/>
      <c r="J478" s="381"/>
      <c r="K478" s="381"/>
      <c r="L478" s="381"/>
      <c r="M478" s="381"/>
      <c r="N478" s="381"/>
    </row>
    <row r="479" spans="8:14" ht="13.5" hidden="1" thickTop="1">
      <c r="H479" s="381"/>
      <c r="I479" s="381"/>
      <c r="J479" s="381"/>
      <c r="K479" s="381"/>
      <c r="L479" s="381"/>
      <c r="M479" s="381"/>
      <c r="N479" s="381"/>
    </row>
    <row r="480" spans="8:14" ht="13.5" hidden="1" thickTop="1">
      <c r="H480" s="381"/>
      <c r="I480" s="381"/>
      <c r="J480" s="381"/>
      <c r="K480" s="381"/>
      <c r="L480" s="381"/>
      <c r="M480" s="381"/>
      <c r="N480" s="381"/>
    </row>
    <row r="481" spans="8:14" ht="13.5" hidden="1" thickTop="1">
      <c r="H481" s="381"/>
      <c r="I481" s="381"/>
      <c r="J481" s="381"/>
      <c r="K481" s="381"/>
      <c r="L481" s="381"/>
      <c r="M481" s="381"/>
      <c r="N481" s="381"/>
    </row>
    <row r="482" spans="8:14" ht="13.5" hidden="1" thickTop="1">
      <c r="H482" s="381"/>
      <c r="I482" s="381"/>
      <c r="J482" s="381"/>
      <c r="K482" s="381"/>
      <c r="L482" s="381"/>
      <c r="M482" s="381"/>
      <c r="N482" s="381"/>
    </row>
    <row r="483" spans="8:14" ht="13.5" hidden="1" thickTop="1">
      <c r="H483" s="381"/>
      <c r="I483" s="381"/>
      <c r="J483" s="381"/>
      <c r="K483" s="381"/>
      <c r="L483" s="381"/>
      <c r="M483" s="381"/>
      <c r="N483" s="381"/>
    </row>
    <row r="484" spans="8:14" ht="13.5" hidden="1" thickTop="1">
      <c r="H484" s="381"/>
      <c r="I484" s="381"/>
      <c r="J484" s="381"/>
      <c r="K484" s="381"/>
      <c r="L484" s="381"/>
      <c r="M484" s="381"/>
      <c r="N484" s="381"/>
    </row>
    <row r="485" spans="8:14" ht="13.5" hidden="1" thickTop="1">
      <c r="H485" s="381"/>
      <c r="I485" s="381"/>
      <c r="J485" s="381"/>
      <c r="K485" s="381"/>
      <c r="L485" s="381"/>
      <c r="M485" s="381"/>
      <c r="N485" s="381"/>
    </row>
    <row r="486" spans="8:14" ht="13.5" hidden="1" thickTop="1">
      <c r="H486" s="381"/>
      <c r="I486" s="381"/>
      <c r="J486" s="381"/>
      <c r="K486" s="381"/>
      <c r="L486" s="381"/>
      <c r="M486" s="381"/>
      <c r="N486" s="381"/>
    </row>
    <row r="487" spans="8:14" ht="13.5" hidden="1" thickTop="1">
      <c r="H487" s="381"/>
      <c r="I487" s="381"/>
      <c r="J487" s="381"/>
      <c r="K487" s="381"/>
      <c r="L487" s="381"/>
      <c r="M487" s="381"/>
      <c r="N487" s="381"/>
    </row>
    <row r="488" spans="8:14" ht="13.5" hidden="1" thickTop="1">
      <c r="H488" s="381"/>
      <c r="I488" s="381"/>
      <c r="J488" s="381"/>
      <c r="K488" s="381"/>
      <c r="L488" s="381"/>
      <c r="M488" s="381"/>
      <c r="N488" s="381"/>
    </row>
    <row r="489" spans="8:14" ht="13.5" hidden="1" thickTop="1">
      <c r="H489" s="381"/>
      <c r="I489" s="381"/>
      <c r="J489" s="381"/>
      <c r="K489" s="381"/>
      <c r="L489" s="381"/>
      <c r="M489" s="381"/>
      <c r="N489" s="381"/>
    </row>
    <row r="490" spans="8:14" ht="13.5" hidden="1" thickTop="1">
      <c r="H490" s="381"/>
      <c r="I490" s="381"/>
      <c r="J490" s="381"/>
      <c r="K490" s="381"/>
      <c r="L490" s="381"/>
      <c r="M490" s="381"/>
      <c r="N490" s="381"/>
    </row>
    <row r="491" spans="8:14" ht="13.5" hidden="1" thickTop="1">
      <c r="H491" s="381"/>
      <c r="I491" s="381"/>
      <c r="J491" s="381"/>
      <c r="K491" s="381"/>
      <c r="L491" s="381"/>
      <c r="M491" s="381"/>
      <c r="N491" s="381"/>
    </row>
    <row r="492" spans="8:14" ht="13.5" hidden="1" thickTop="1">
      <c r="H492" s="381"/>
      <c r="I492" s="381"/>
      <c r="J492" s="381"/>
      <c r="K492" s="381"/>
      <c r="L492" s="381"/>
      <c r="M492" s="381"/>
      <c r="N492" s="381"/>
    </row>
    <row r="493" spans="8:14" ht="13.5" hidden="1" thickTop="1">
      <c r="H493" s="381"/>
      <c r="I493" s="381"/>
      <c r="J493" s="381"/>
      <c r="K493" s="381"/>
      <c r="L493" s="381"/>
      <c r="M493" s="381"/>
      <c r="N493" s="381"/>
    </row>
    <row r="494" spans="8:14" ht="13.5" hidden="1" thickTop="1">
      <c r="H494" s="381"/>
      <c r="I494" s="381"/>
      <c r="J494" s="381"/>
      <c r="K494" s="381"/>
      <c r="L494" s="381"/>
      <c r="M494" s="381"/>
      <c r="N494" s="381"/>
    </row>
    <row r="495" spans="8:14" ht="13.5" hidden="1" thickTop="1">
      <c r="H495" s="381"/>
      <c r="I495" s="381"/>
      <c r="J495" s="381"/>
      <c r="K495" s="381"/>
      <c r="L495" s="381"/>
      <c r="M495" s="381"/>
      <c r="N495" s="381"/>
    </row>
    <row r="496" spans="8:14" ht="13.5" hidden="1" thickTop="1">
      <c r="H496" s="381"/>
      <c r="I496" s="381"/>
      <c r="J496" s="381"/>
      <c r="K496" s="381"/>
      <c r="L496" s="381"/>
      <c r="M496" s="381"/>
      <c r="N496" s="381"/>
    </row>
    <row r="497" spans="8:14" ht="13.5" hidden="1" thickTop="1">
      <c r="H497" s="381"/>
      <c r="I497" s="381"/>
      <c r="J497" s="381"/>
      <c r="K497" s="381"/>
      <c r="L497" s="381"/>
      <c r="M497" s="381"/>
      <c r="N497" s="381"/>
    </row>
    <row r="498" spans="8:14" ht="13.5" hidden="1" thickTop="1">
      <c r="H498" s="381"/>
      <c r="I498" s="381"/>
      <c r="J498" s="381"/>
      <c r="K498" s="381"/>
      <c r="L498" s="381"/>
      <c r="M498" s="381"/>
      <c r="N498" s="381"/>
    </row>
    <row r="499" spans="8:14" ht="13.5" hidden="1" thickTop="1">
      <c r="H499" s="381"/>
      <c r="I499" s="381"/>
      <c r="J499" s="381"/>
      <c r="K499" s="381"/>
      <c r="L499" s="381"/>
      <c r="M499" s="381"/>
      <c r="N499" s="381"/>
    </row>
    <row r="500" spans="8:14" ht="13.5" hidden="1" thickTop="1">
      <c r="H500" s="381"/>
      <c r="I500" s="381"/>
      <c r="J500" s="381"/>
      <c r="K500" s="381"/>
      <c r="L500" s="381"/>
      <c r="M500" s="381"/>
      <c r="N500" s="381"/>
    </row>
    <row r="501" spans="8:14" ht="13.5" hidden="1" thickTop="1">
      <c r="H501" s="381"/>
      <c r="I501" s="381"/>
      <c r="J501" s="381"/>
      <c r="K501" s="381"/>
      <c r="L501" s="381"/>
      <c r="M501" s="381"/>
      <c r="N501" s="381"/>
    </row>
    <row r="502" spans="8:14" ht="13.5" hidden="1" thickTop="1">
      <c r="H502" s="381"/>
      <c r="I502" s="381"/>
      <c r="J502" s="381"/>
      <c r="K502" s="381"/>
      <c r="L502" s="381"/>
      <c r="M502" s="381"/>
      <c r="N502" s="381"/>
    </row>
    <row r="503" spans="8:14" ht="13.5" hidden="1" thickTop="1">
      <c r="H503" s="381"/>
      <c r="I503" s="381"/>
      <c r="J503" s="381"/>
      <c r="K503" s="381"/>
      <c r="L503" s="381"/>
      <c r="M503" s="381"/>
      <c r="N503" s="381"/>
    </row>
    <row r="504" spans="8:14" ht="13.5" hidden="1" thickTop="1">
      <c r="H504" s="381"/>
      <c r="I504" s="381"/>
      <c r="J504" s="381"/>
      <c r="K504" s="381"/>
      <c r="L504" s="381"/>
      <c r="M504" s="381"/>
      <c r="N504" s="381"/>
    </row>
    <row r="505" spans="8:14" ht="13.5" hidden="1" thickTop="1">
      <c r="H505" s="381"/>
      <c r="I505" s="381"/>
      <c r="J505" s="381"/>
      <c r="K505" s="381"/>
      <c r="L505" s="381"/>
      <c r="M505" s="381"/>
      <c r="N505" s="381"/>
    </row>
    <row r="506" spans="8:14" ht="13.5" hidden="1" thickTop="1">
      <c r="H506" s="381"/>
      <c r="I506" s="381"/>
      <c r="J506" s="381"/>
      <c r="K506" s="381"/>
      <c r="L506" s="381"/>
      <c r="M506" s="381"/>
      <c r="N506" s="381"/>
    </row>
    <row r="507" spans="8:14" ht="13.5" hidden="1" thickTop="1">
      <c r="H507" s="381"/>
      <c r="I507" s="381"/>
      <c r="J507" s="381"/>
      <c r="K507" s="381"/>
      <c r="L507" s="381"/>
      <c r="M507" s="381"/>
      <c r="N507" s="381"/>
    </row>
    <row r="508" spans="8:14" ht="13.5" hidden="1" thickTop="1">
      <c r="H508" s="381"/>
      <c r="I508" s="381"/>
      <c r="J508" s="381"/>
      <c r="K508" s="381"/>
      <c r="L508" s="381"/>
      <c r="M508" s="381"/>
      <c r="N508" s="381"/>
    </row>
    <row r="509" spans="8:14" ht="13.5" hidden="1" thickTop="1">
      <c r="H509" s="381"/>
      <c r="I509" s="381"/>
      <c r="J509" s="381"/>
      <c r="K509" s="381"/>
      <c r="L509" s="381"/>
      <c r="M509" s="381"/>
      <c r="N509" s="381"/>
    </row>
    <row r="510" spans="8:14" ht="13.5" hidden="1" thickTop="1">
      <c r="H510" s="381"/>
      <c r="I510" s="381"/>
      <c r="J510" s="381"/>
      <c r="K510" s="381"/>
      <c r="L510" s="381"/>
      <c r="M510" s="381"/>
      <c r="N510" s="381"/>
    </row>
    <row r="511" spans="8:14" ht="13.5" hidden="1" thickTop="1">
      <c r="H511" s="381"/>
      <c r="I511" s="381"/>
      <c r="J511" s="381"/>
      <c r="K511" s="381"/>
      <c r="L511" s="381"/>
      <c r="M511" s="381"/>
      <c r="N511" s="381"/>
    </row>
    <row r="512" spans="8:14" ht="13.5" hidden="1" thickTop="1">
      <c r="H512" s="381"/>
      <c r="I512" s="381"/>
      <c r="J512" s="381"/>
      <c r="K512" s="381"/>
      <c r="L512" s="381"/>
      <c r="M512" s="381"/>
      <c r="N512" s="381"/>
    </row>
    <row r="513" spans="8:14" ht="13.5" hidden="1" thickTop="1">
      <c r="H513" s="381"/>
      <c r="I513" s="381"/>
      <c r="J513" s="381"/>
      <c r="K513" s="381"/>
      <c r="L513" s="381"/>
      <c r="M513" s="381"/>
      <c r="N513" s="381"/>
    </row>
    <row r="514" spans="8:14" ht="13.5" hidden="1" thickTop="1">
      <c r="H514" s="381"/>
      <c r="I514" s="381"/>
      <c r="J514" s="381"/>
      <c r="K514" s="381"/>
      <c r="L514" s="381"/>
      <c r="M514" s="381"/>
      <c r="N514" s="381"/>
    </row>
    <row r="515" spans="8:14" ht="13.5" hidden="1" thickTop="1">
      <c r="H515" s="381"/>
      <c r="I515" s="381"/>
      <c r="J515" s="381"/>
      <c r="K515" s="381"/>
      <c r="L515" s="381"/>
      <c r="M515" s="381"/>
      <c r="N515" s="381"/>
    </row>
    <row r="516" spans="8:14" ht="13.5" hidden="1" thickTop="1">
      <c r="H516" s="381"/>
      <c r="I516" s="381"/>
      <c r="J516" s="381"/>
      <c r="K516" s="381"/>
      <c r="L516" s="381"/>
      <c r="M516" s="381"/>
      <c r="N516" s="381"/>
    </row>
    <row r="517" spans="8:14" ht="13.5" hidden="1" thickTop="1">
      <c r="H517" s="381"/>
      <c r="I517" s="381"/>
      <c r="J517" s="381"/>
      <c r="K517" s="381"/>
      <c r="L517" s="381"/>
      <c r="M517" s="381"/>
      <c r="N517" s="381"/>
    </row>
    <row r="518" spans="8:14" ht="13.5" hidden="1" thickTop="1">
      <c r="H518" s="381"/>
      <c r="I518" s="381"/>
      <c r="J518" s="381"/>
      <c r="K518" s="381"/>
      <c r="L518" s="381"/>
      <c r="M518" s="381"/>
      <c r="N518" s="381"/>
    </row>
    <row r="519" spans="8:14" ht="13.5" hidden="1" thickTop="1">
      <c r="H519" s="381"/>
      <c r="I519" s="381"/>
      <c r="J519" s="381"/>
      <c r="K519" s="381"/>
      <c r="L519" s="381"/>
      <c r="M519" s="381"/>
      <c r="N519" s="381"/>
    </row>
    <row r="520" spans="8:14" ht="13.5" hidden="1" thickTop="1">
      <c r="H520" s="381"/>
      <c r="I520" s="381"/>
      <c r="J520" s="381"/>
      <c r="K520" s="381"/>
      <c r="L520" s="381"/>
      <c r="M520" s="381"/>
      <c r="N520" s="381"/>
    </row>
    <row r="521" spans="8:14" ht="13.5" hidden="1" thickTop="1">
      <c r="H521" s="381"/>
      <c r="I521" s="381"/>
      <c r="J521" s="381"/>
      <c r="K521" s="381"/>
      <c r="L521" s="381"/>
      <c r="M521" s="381"/>
      <c r="N521" s="381"/>
    </row>
    <row r="522" spans="8:14" ht="13.5" hidden="1" thickTop="1">
      <c r="H522" s="381"/>
      <c r="I522" s="381"/>
      <c r="J522" s="381"/>
      <c r="K522" s="381"/>
      <c r="L522" s="381"/>
      <c r="M522" s="381"/>
      <c r="N522" s="381"/>
    </row>
    <row r="523" spans="8:14" ht="13.5" hidden="1" thickTop="1">
      <c r="H523" s="381"/>
      <c r="I523" s="381"/>
      <c r="J523" s="381"/>
      <c r="K523" s="381"/>
      <c r="L523" s="381"/>
      <c r="M523" s="381"/>
      <c r="N523" s="381"/>
    </row>
    <row r="524" spans="8:14" ht="13.5" hidden="1" thickTop="1">
      <c r="H524" s="381"/>
      <c r="I524" s="381"/>
      <c r="J524" s="381"/>
      <c r="K524" s="381"/>
      <c r="L524" s="381"/>
      <c r="M524" s="381"/>
      <c r="N524" s="381"/>
    </row>
    <row r="525" spans="8:14" ht="13.5" hidden="1" thickTop="1">
      <c r="H525" s="381"/>
      <c r="I525" s="381"/>
      <c r="J525" s="381"/>
      <c r="K525" s="381"/>
      <c r="L525" s="381"/>
      <c r="M525" s="381"/>
      <c r="N525" s="381"/>
    </row>
    <row r="526" spans="8:14" ht="13.5" hidden="1" thickTop="1">
      <c r="H526" s="381"/>
      <c r="I526" s="381"/>
      <c r="J526" s="381"/>
      <c r="K526" s="381"/>
      <c r="L526" s="381"/>
      <c r="M526" s="381"/>
      <c r="N526" s="381"/>
    </row>
    <row r="527" spans="8:14" ht="13.5" hidden="1" thickTop="1">
      <c r="H527" s="381"/>
      <c r="I527" s="381"/>
      <c r="J527" s="381"/>
      <c r="K527" s="381"/>
      <c r="L527" s="381"/>
      <c r="M527" s="381"/>
      <c r="N527" s="381"/>
    </row>
    <row r="528" spans="8:14" ht="13.5" hidden="1" thickTop="1">
      <c r="H528" s="381"/>
      <c r="I528" s="381"/>
      <c r="J528" s="381"/>
      <c r="K528" s="381"/>
      <c r="L528" s="381"/>
      <c r="M528" s="381"/>
      <c r="N528" s="381"/>
    </row>
    <row r="529" spans="8:14" ht="13.5" hidden="1" thickTop="1">
      <c r="H529" s="381"/>
      <c r="I529" s="381"/>
      <c r="J529" s="381"/>
      <c r="K529" s="381"/>
      <c r="L529" s="381"/>
      <c r="M529" s="381"/>
      <c r="N529" s="381"/>
    </row>
    <row r="530" spans="8:14" ht="13.5" hidden="1" thickTop="1">
      <c r="H530" s="381"/>
      <c r="I530" s="381"/>
      <c r="J530" s="381"/>
      <c r="K530" s="381"/>
      <c r="L530" s="381"/>
      <c r="M530" s="381"/>
      <c r="N530" s="381"/>
    </row>
    <row r="531" spans="8:14" ht="13.5" hidden="1" thickTop="1">
      <c r="H531" s="381"/>
      <c r="I531" s="381"/>
      <c r="J531" s="381"/>
      <c r="K531" s="381"/>
      <c r="L531" s="381"/>
      <c r="M531" s="381"/>
      <c r="N531" s="381"/>
    </row>
    <row r="532" spans="8:14" ht="13.5" hidden="1" thickTop="1">
      <c r="H532" s="381"/>
      <c r="I532" s="381"/>
      <c r="J532" s="381"/>
      <c r="K532" s="381"/>
      <c r="L532" s="381"/>
      <c r="M532" s="381"/>
      <c r="N532" s="381"/>
    </row>
    <row r="533" spans="8:14" ht="13.5" hidden="1" thickTop="1">
      <c r="H533" s="381"/>
      <c r="I533" s="381"/>
      <c r="J533" s="381"/>
      <c r="K533" s="381"/>
      <c r="L533" s="381"/>
      <c r="M533" s="381"/>
      <c r="N533" s="381"/>
    </row>
    <row r="534" spans="8:14" ht="13.5" hidden="1" thickTop="1">
      <c r="H534" s="381"/>
      <c r="I534" s="381"/>
      <c r="J534" s="381"/>
      <c r="K534" s="381"/>
      <c r="L534" s="381"/>
      <c r="M534" s="381"/>
      <c r="N534" s="381"/>
    </row>
    <row r="535" spans="8:14" ht="13.5" hidden="1" thickTop="1">
      <c r="H535" s="381"/>
      <c r="I535" s="381"/>
      <c r="J535" s="381"/>
      <c r="K535" s="381"/>
      <c r="L535" s="381"/>
      <c r="M535" s="381"/>
      <c r="N535" s="381"/>
    </row>
    <row r="536" spans="8:14" ht="13.5" hidden="1" thickTop="1">
      <c r="H536" s="381"/>
      <c r="I536" s="381"/>
      <c r="J536" s="381"/>
      <c r="K536" s="381"/>
      <c r="L536" s="381"/>
      <c r="M536" s="381"/>
      <c r="N536" s="381"/>
    </row>
    <row r="537" spans="8:14" ht="13.5" hidden="1" thickTop="1">
      <c r="H537" s="381"/>
      <c r="I537" s="381"/>
      <c r="J537" s="381"/>
      <c r="K537" s="381"/>
      <c r="L537" s="381"/>
      <c r="M537" s="381"/>
      <c r="N537" s="381"/>
    </row>
    <row r="538" spans="8:14" ht="13.5" hidden="1" thickTop="1">
      <c r="H538" s="381"/>
      <c r="I538" s="381"/>
      <c r="J538" s="381"/>
      <c r="K538" s="381"/>
      <c r="L538" s="381"/>
      <c r="M538" s="381"/>
      <c r="N538" s="381"/>
    </row>
    <row r="539" spans="8:14" ht="13.5" hidden="1" thickTop="1">
      <c r="H539" s="381"/>
      <c r="I539" s="381"/>
      <c r="J539" s="381"/>
      <c r="K539" s="381"/>
      <c r="L539" s="381"/>
      <c r="M539" s="381"/>
      <c r="N539" s="381"/>
    </row>
    <row r="540" spans="8:14" ht="13.5" hidden="1" thickTop="1">
      <c r="H540" s="381"/>
      <c r="I540" s="381"/>
      <c r="J540" s="381"/>
      <c r="K540" s="381"/>
      <c r="L540" s="381"/>
      <c r="M540" s="381"/>
      <c r="N540" s="381"/>
    </row>
    <row r="541" spans="8:14" ht="13.5" hidden="1" thickTop="1">
      <c r="H541" s="381"/>
      <c r="I541" s="381"/>
      <c r="J541" s="381"/>
      <c r="K541" s="381"/>
      <c r="L541" s="381"/>
      <c r="M541" s="381"/>
      <c r="N541" s="381"/>
    </row>
    <row r="542" spans="8:14" ht="13.5" hidden="1" thickTop="1">
      <c r="H542" s="381"/>
      <c r="I542" s="381"/>
      <c r="J542" s="381"/>
      <c r="K542" s="381"/>
      <c r="L542" s="381"/>
      <c r="M542" s="381"/>
      <c r="N542" s="381"/>
    </row>
    <row r="543" spans="8:14" ht="13.5" hidden="1" thickTop="1">
      <c r="H543" s="381"/>
      <c r="I543" s="381"/>
      <c r="J543" s="381"/>
      <c r="K543" s="381"/>
      <c r="L543" s="381"/>
      <c r="M543" s="381"/>
      <c r="N543" s="381"/>
    </row>
    <row r="544" spans="8:14" ht="13.5" hidden="1" thickTop="1">
      <c r="H544" s="381"/>
      <c r="I544" s="381"/>
      <c r="J544" s="381"/>
      <c r="K544" s="381"/>
      <c r="L544" s="381"/>
      <c r="M544" s="381"/>
      <c r="N544" s="381"/>
    </row>
    <row r="545" spans="8:14" ht="13.5" hidden="1" thickTop="1">
      <c r="H545" s="381"/>
      <c r="I545" s="381"/>
      <c r="J545" s="381"/>
      <c r="K545" s="381"/>
      <c r="L545" s="381"/>
      <c r="M545" s="381"/>
      <c r="N545" s="381"/>
    </row>
    <row r="546" spans="8:14" ht="13.5" hidden="1" thickTop="1">
      <c r="H546" s="381"/>
      <c r="I546" s="381"/>
      <c r="J546" s="381"/>
      <c r="K546" s="381"/>
      <c r="L546" s="381"/>
      <c r="M546" s="381"/>
      <c r="N546" s="381"/>
    </row>
    <row r="547" spans="8:14" ht="13.5" hidden="1" thickTop="1">
      <c r="H547" s="381"/>
      <c r="I547" s="381"/>
      <c r="J547" s="381"/>
      <c r="K547" s="381"/>
      <c r="L547" s="381"/>
      <c r="M547" s="381"/>
      <c r="N547" s="381"/>
    </row>
    <row r="548" spans="8:14" ht="13.5" hidden="1" thickTop="1">
      <c r="H548" s="381"/>
      <c r="I548" s="381"/>
      <c r="J548" s="381"/>
      <c r="K548" s="381"/>
      <c r="L548" s="381"/>
      <c r="M548" s="381"/>
      <c r="N548" s="381"/>
    </row>
    <row r="549" spans="8:14" ht="13.5" hidden="1" thickTop="1">
      <c r="H549" s="381"/>
      <c r="I549" s="381"/>
      <c r="J549" s="381"/>
      <c r="K549" s="381"/>
      <c r="L549" s="381"/>
      <c r="M549" s="381"/>
      <c r="N549" s="381"/>
    </row>
    <row r="550" spans="8:14" ht="13.5" hidden="1" thickTop="1">
      <c r="H550" s="381"/>
      <c r="I550" s="381"/>
      <c r="J550" s="381"/>
      <c r="K550" s="381"/>
      <c r="L550" s="381"/>
      <c r="M550" s="381"/>
      <c r="N550" s="381"/>
    </row>
    <row r="551" spans="8:14" ht="13.5" hidden="1" thickTop="1">
      <c r="H551" s="381"/>
      <c r="I551" s="381"/>
      <c r="J551" s="381"/>
      <c r="K551" s="381"/>
      <c r="L551" s="381"/>
      <c r="M551" s="381"/>
      <c r="N551" s="381"/>
    </row>
    <row r="552" spans="8:14" ht="13.5" hidden="1" thickTop="1">
      <c r="H552" s="381"/>
      <c r="I552" s="381"/>
      <c r="J552" s="381"/>
      <c r="K552" s="381"/>
      <c r="L552" s="381"/>
      <c r="M552" s="381"/>
      <c r="N552" s="381"/>
    </row>
    <row r="553" spans="8:14" ht="13.5" hidden="1" thickTop="1">
      <c r="H553" s="381"/>
      <c r="I553" s="381"/>
      <c r="J553" s="381"/>
      <c r="K553" s="381"/>
      <c r="L553" s="381"/>
      <c r="M553" s="381"/>
      <c r="N553" s="381"/>
    </row>
    <row r="554" spans="8:14" ht="13.5" hidden="1" thickTop="1">
      <c r="H554" s="381"/>
      <c r="I554" s="381"/>
      <c r="J554" s="381"/>
      <c r="K554" s="381"/>
      <c r="L554" s="381"/>
      <c r="M554" s="381"/>
      <c r="N554" s="381"/>
    </row>
    <row r="555" spans="8:14" ht="13.5" hidden="1" thickTop="1">
      <c r="H555" s="381"/>
      <c r="I555" s="381"/>
      <c r="J555" s="381"/>
      <c r="K555" s="381"/>
      <c r="L555" s="381"/>
      <c r="M555" s="381"/>
      <c r="N555" s="381"/>
    </row>
    <row r="556" spans="8:14" ht="13.5" hidden="1" thickTop="1">
      <c r="H556" s="381"/>
      <c r="I556" s="381"/>
      <c r="J556" s="381"/>
      <c r="K556" s="381"/>
      <c r="L556" s="381"/>
      <c r="M556" s="381"/>
      <c r="N556" s="381"/>
    </row>
    <row r="557" spans="8:14" ht="13.5" hidden="1" thickTop="1">
      <c r="H557" s="381"/>
      <c r="I557" s="381"/>
      <c r="J557" s="381"/>
      <c r="K557" s="381"/>
      <c r="L557" s="381"/>
      <c r="M557" s="381"/>
      <c r="N557" s="381"/>
    </row>
    <row r="558" spans="8:14" ht="13.5" hidden="1" thickTop="1">
      <c r="H558" s="381"/>
      <c r="I558" s="381"/>
      <c r="J558" s="381"/>
      <c r="K558" s="381"/>
      <c r="L558" s="381"/>
      <c r="M558" s="381"/>
      <c r="N558" s="381"/>
    </row>
    <row r="559" spans="8:14" ht="13.5" hidden="1" thickTop="1">
      <c r="H559" s="381"/>
      <c r="I559" s="381"/>
      <c r="J559" s="381"/>
      <c r="K559" s="381"/>
      <c r="L559" s="381"/>
      <c r="M559" s="381"/>
      <c r="N559" s="381"/>
    </row>
    <row r="560" spans="8:14" ht="13.5" hidden="1" thickTop="1">
      <c r="H560" s="381"/>
      <c r="I560" s="381"/>
      <c r="J560" s="381"/>
      <c r="K560" s="381"/>
      <c r="L560" s="381"/>
      <c r="M560" s="381"/>
      <c r="N560" s="381"/>
    </row>
    <row r="561" spans="8:14" ht="13.5" hidden="1" thickTop="1">
      <c r="H561" s="381"/>
      <c r="I561" s="381"/>
      <c r="J561" s="381"/>
      <c r="K561" s="381"/>
      <c r="L561" s="381"/>
      <c r="M561" s="381"/>
      <c r="N561" s="381"/>
    </row>
    <row r="562" spans="8:14" ht="13.5" hidden="1" thickTop="1">
      <c r="H562" s="381"/>
      <c r="I562" s="381"/>
      <c r="J562" s="381"/>
      <c r="K562" s="381"/>
      <c r="L562" s="381"/>
      <c r="M562" s="381"/>
      <c r="N562" s="381"/>
    </row>
    <row r="563" spans="8:14" ht="13.5" hidden="1" thickTop="1">
      <c r="H563" s="381"/>
      <c r="I563" s="381"/>
      <c r="J563" s="381"/>
      <c r="K563" s="381"/>
      <c r="L563" s="381"/>
      <c r="M563" s="381"/>
      <c r="N563" s="381"/>
    </row>
    <row r="564" spans="8:14" ht="13.5" hidden="1" thickTop="1">
      <c r="H564" s="381"/>
      <c r="I564" s="381"/>
      <c r="J564" s="381"/>
      <c r="K564" s="381"/>
      <c r="L564" s="381"/>
      <c r="M564" s="381"/>
      <c r="N564" s="381"/>
    </row>
    <row r="565" spans="8:14" ht="13.5" hidden="1" thickTop="1">
      <c r="H565" s="381"/>
      <c r="I565" s="381"/>
      <c r="J565" s="381"/>
      <c r="K565" s="381"/>
      <c r="L565" s="381"/>
      <c r="M565" s="381"/>
      <c r="N565" s="381"/>
    </row>
    <row r="566" spans="8:14" ht="13.5" hidden="1" thickTop="1">
      <c r="H566" s="381"/>
      <c r="I566" s="381"/>
      <c r="J566" s="381"/>
      <c r="K566" s="381"/>
      <c r="L566" s="381"/>
      <c r="M566" s="381"/>
      <c r="N566" s="381"/>
    </row>
    <row r="567" spans="8:14" ht="13.5" hidden="1" thickTop="1">
      <c r="H567" s="381"/>
      <c r="I567" s="381"/>
      <c r="J567" s="381"/>
      <c r="K567" s="381"/>
      <c r="L567" s="381"/>
      <c r="M567" s="381"/>
      <c r="N567" s="381"/>
    </row>
    <row r="568" spans="8:14" ht="13.5" hidden="1" thickTop="1">
      <c r="H568" s="381"/>
      <c r="I568" s="381"/>
      <c r="J568" s="381"/>
      <c r="K568" s="381"/>
      <c r="L568" s="381"/>
      <c r="M568" s="381"/>
      <c r="N568" s="381"/>
    </row>
    <row r="569" spans="8:14" ht="13.5" hidden="1" thickTop="1">
      <c r="H569" s="381"/>
      <c r="I569" s="381"/>
      <c r="J569" s="381"/>
      <c r="K569" s="381"/>
      <c r="L569" s="381"/>
      <c r="M569" s="381"/>
      <c r="N569" s="381"/>
    </row>
    <row r="570" spans="8:14" ht="13.5" hidden="1" thickTop="1">
      <c r="H570" s="381"/>
      <c r="I570" s="381"/>
      <c r="J570" s="381"/>
      <c r="K570" s="381"/>
      <c r="L570" s="381"/>
      <c r="M570" s="381"/>
      <c r="N570" s="381"/>
    </row>
    <row r="571" spans="8:14" ht="13.5" hidden="1" thickTop="1">
      <c r="H571" s="381"/>
      <c r="I571" s="381"/>
      <c r="J571" s="381"/>
      <c r="K571" s="381"/>
      <c r="L571" s="381"/>
      <c r="M571" s="381"/>
      <c r="N571" s="381"/>
    </row>
    <row r="572" spans="8:14" ht="13.5" hidden="1" thickTop="1">
      <c r="H572" s="381"/>
      <c r="I572" s="381"/>
      <c r="J572" s="381"/>
      <c r="K572" s="381"/>
      <c r="L572" s="381"/>
      <c r="M572" s="381"/>
      <c r="N572" s="381"/>
    </row>
    <row r="573" spans="8:14" ht="13.5" hidden="1" thickTop="1">
      <c r="H573" s="381"/>
      <c r="I573" s="381"/>
      <c r="J573" s="381"/>
      <c r="K573" s="381"/>
      <c r="L573" s="381"/>
      <c r="M573" s="381"/>
      <c r="N573" s="381"/>
    </row>
    <row r="574" spans="8:14" ht="13.5" hidden="1" thickTop="1">
      <c r="H574" s="381"/>
      <c r="I574" s="381"/>
      <c r="J574" s="381"/>
      <c r="K574" s="381"/>
      <c r="L574" s="381"/>
      <c r="M574" s="381"/>
      <c r="N574" s="381"/>
    </row>
    <row r="575" spans="8:14" ht="13.5" hidden="1" thickTop="1">
      <c r="H575" s="381"/>
      <c r="I575" s="381"/>
      <c r="J575" s="381"/>
      <c r="K575" s="381"/>
      <c r="L575" s="381"/>
      <c r="M575" s="381"/>
      <c r="N575" s="381"/>
    </row>
    <row r="576" spans="8:14" ht="13.5" hidden="1" thickTop="1">
      <c r="H576" s="381"/>
      <c r="I576" s="381"/>
      <c r="J576" s="381"/>
      <c r="K576" s="381"/>
      <c r="L576" s="381"/>
      <c r="M576" s="381"/>
      <c r="N576" s="381"/>
    </row>
    <row r="577" spans="8:14" ht="13.5" hidden="1" thickTop="1">
      <c r="H577" s="381"/>
      <c r="I577" s="381"/>
      <c r="J577" s="381"/>
      <c r="K577" s="381"/>
      <c r="L577" s="381"/>
      <c r="M577" s="381"/>
      <c r="N577" s="381"/>
    </row>
    <row r="578" spans="8:14" ht="13.5" hidden="1" thickTop="1">
      <c r="H578" s="381"/>
      <c r="I578" s="381"/>
      <c r="J578" s="381"/>
      <c r="K578" s="381"/>
      <c r="L578" s="381"/>
      <c r="M578" s="381"/>
      <c r="N578" s="381"/>
    </row>
    <row r="579" spans="8:14" ht="13.5" hidden="1" thickTop="1">
      <c r="H579" s="381"/>
      <c r="I579" s="381"/>
      <c r="J579" s="381"/>
      <c r="K579" s="381"/>
      <c r="L579" s="381"/>
      <c r="M579" s="381"/>
      <c r="N579" s="381"/>
    </row>
    <row r="580" spans="8:14" ht="13.5" hidden="1" thickTop="1">
      <c r="H580" s="381"/>
      <c r="I580" s="381"/>
      <c r="J580" s="381"/>
      <c r="K580" s="381"/>
      <c r="L580" s="381"/>
      <c r="M580" s="381"/>
      <c r="N580" s="381"/>
    </row>
    <row r="581" spans="8:14" ht="13.5" hidden="1" thickTop="1">
      <c r="H581" s="381"/>
      <c r="I581" s="381"/>
      <c r="J581" s="381"/>
      <c r="K581" s="381"/>
      <c r="L581" s="381"/>
      <c r="M581" s="381"/>
      <c r="N581" s="381"/>
    </row>
    <row r="582" spans="8:14" ht="13.5" hidden="1" thickTop="1">
      <c r="H582" s="381"/>
      <c r="I582" s="381"/>
      <c r="J582" s="381"/>
      <c r="K582" s="381"/>
      <c r="L582" s="381"/>
      <c r="M582" s="381"/>
      <c r="N582" s="381"/>
    </row>
    <row r="583" spans="8:14" ht="13.5" hidden="1" thickTop="1">
      <c r="H583" s="381"/>
      <c r="I583" s="381"/>
      <c r="J583" s="381"/>
      <c r="K583" s="381"/>
      <c r="L583" s="381"/>
      <c r="M583" s="381"/>
      <c r="N583" s="381"/>
    </row>
    <row r="584" spans="8:14" ht="13.5" hidden="1" thickTop="1">
      <c r="H584" s="381"/>
      <c r="I584" s="381"/>
      <c r="J584" s="381"/>
      <c r="K584" s="381"/>
      <c r="L584" s="381"/>
      <c r="M584" s="381"/>
      <c r="N584" s="381"/>
    </row>
    <row r="585" spans="8:14" ht="13.5" hidden="1" thickTop="1">
      <c r="H585" s="381"/>
      <c r="I585" s="381"/>
      <c r="J585" s="381"/>
      <c r="K585" s="381"/>
      <c r="L585" s="381"/>
      <c r="M585" s="381"/>
      <c r="N585" s="381"/>
    </row>
    <row r="586" spans="8:14" ht="13.5" hidden="1" thickTop="1">
      <c r="H586" s="381"/>
      <c r="I586" s="381"/>
      <c r="J586" s="381"/>
      <c r="K586" s="381"/>
      <c r="L586" s="381"/>
      <c r="M586" s="381"/>
      <c r="N586" s="381"/>
    </row>
    <row r="587" spans="8:14" ht="13.5" hidden="1" thickTop="1">
      <c r="H587" s="381"/>
      <c r="I587" s="381"/>
      <c r="J587" s="381"/>
      <c r="K587" s="381"/>
      <c r="L587" s="381"/>
      <c r="M587" s="381"/>
      <c r="N587" s="381"/>
    </row>
    <row r="588" spans="8:14" ht="13.5" hidden="1" thickTop="1">
      <c r="H588" s="381"/>
      <c r="I588" s="381"/>
      <c r="J588" s="381"/>
      <c r="K588" s="381"/>
      <c r="L588" s="381"/>
      <c r="M588" s="381"/>
      <c r="N588" s="381"/>
    </row>
    <row r="589" spans="8:14" ht="13.5" hidden="1" thickTop="1">
      <c r="H589" s="381"/>
      <c r="I589" s="381"/>
      <c r="J589" s="381"/>
      <c r="K589" s="381"/>
      <c r="L589" s="381"/>
      <c r="M589" s="381"/>
      <c r="N589" s="381"/>
    </row>
    <row r="590" spans="8:14" ht="13.5" hidden="1" thickTop="1">
      <c r="H590" s="381"/>
      <c r="I590" s="381"/>
      <c r="J590" s="381"/>
      <c r="K590" s="381"/>
      <c r="L590" s="381"/>
      <c r="M590" s="381"/>
      <c r="N590" s="381"/>
    </row>
    <row r="591" spans="8:14" ht="13.5" hidden="1" thickTop="1">
      <c r="H591" s="381"/>
      <c r="I591" s="381"/>
      <c r="J591" s="381"/>
      <c r="K591" s="381"/>
      <c r="L591" s="381"/>
      <c r="M591" s="381"/>
      <c r="N591" s="381"/>
    </row>
    <row r="592" spans="8:14" ht="13.5" hidden="1" thickTop="1">
      <c r="H592" s="381"/>
      <c r="I592" s="381"/>
      <c r="J592" s="381"/>
      <c r="K592" s="381"/>
      <c r="L592" s="381"/>
      <c r="M592" s="381"/>
      <c r="N592" s="381"/>
    </row>
    <row r="593" spans="8:14" ht="13.5" hidden="1" thickTop="1">
      <c r="H593" s="381"/>
      <c r="I593" s="381"/>
      <c r="J593" s="381"/>
      <c r="K593" s="381"/>
      <c r="L593" s="381"/>
      <c r="M593" s="381"/>
      <c r="N593" s="381"/>
    </row>
    <row r="594" spans="8:14" ht="13.5" hidden="1" thickTop="1">
      <c r="H594" s="381"/>
      <c r="I594" s="381"/>
      <c r="J594" s="381"/>
      <c r="K594" s="381"/>
      <c r="L594" s="381"/>
      <c r="M594" s="381"/>
      <c r="N594" s="381"/>
    </row>
    <row r="595" spans="8:14" ht="13.5" hidden="1" thickTop="1">
      <c r="H595" s="381"/>
      <c r="I595" s="381"/>
      <c r="J595" s="381"/>
      <c r="K595" s="381"/>
      <c r="L595" s="381"/>
      <c r="M595" s="381"/>
      <c r="N595" s="381"/>
    </row>
    <row r="596" spans="8:14" ht="13.5" hidden="1" thickTop="1">
      <c r="H596" s="381"/>
      <c r="I596" s="381"/>
      <c r="J596" s="381"/>
      <c r="K596" s="381"/>
      <c r="L596" s="381"/>
      <c r="M596" s="381"/>
      <c r="N596" s="381"/>
    </row>
    <row r="597" spans="8:14" ht="13.5" hidden="1" thickTop="1">
      <c r="H597" s="381"/>
      <c r="I597" s="381"/>
      <c r="J597" s="381"/>
      <c r="K597" s="381"/>
      <c r="L597" s="381"/>
      <c r="M597" s="381"/>
      <c r="N597" s="381"/>
    </row>
    <row r="598" spans="8:14" ht="13.5" hidden="1" thickTop="1">
      <c r="H598" s="381"/>
      <c r="I598" s="381"/>
      <c r="J598" s="381"/>
      <c r="K598" s="381"/>
      <c r="L598" s="381"/>
      <c r="M598" s="381"/>
      <c r="N598" s="381"/>
    </row>
    <row r="599" spans="8:14" ht="13.5" hidden="1" thickTop="1">
      <c r="H599" s="381"/>
      <c r="I599" s="381"/>
      <c r="J599" s="381"/>
      <c r="K599" s="381"/>
      <c r="L599" s="381"/>
      <c r="M599" s="381"/>
      <c r="N599" s="381"/>
    </row>
    <row r="600" spans="8:14" ht="13.5" hidden="1" thickTop="1">
      <c r="H600" s="381"/>
      <c r="I600" s="381"/>
      <c r="J600" s="381"/>
      <c r="K600" s="381"/>
      <c r="L600" s="381"/>
      <c r="M600" s="381"/>
      <c r="N600" s="381"/>
    </row>
    <row r="601" spans="8:14" ht="13.5" hidden="1" thickTop="1">
      <c r="H601" s="381"/>
      <c r="I601" s="381"/>
      <c r="J601" s="381"/>
      <c r="K601" s="381"/>
      <c r="L601" s="381"/>
      <c r="M601" s="381"/>
      <c r="N601" s="381"/>
    </row>
    <row r="602" spans="8:14" ht="13.5" hidden="1" thickTop="1">
      <c r="H602" s="381"/>
      <c r="I602" s="381"/>
      <c r="J602" s="381"/>
      <c r="K602" s="381"/>
      <c r="L602" s="381"/>
      <c r="M602" s="381"/>
      <c r="N602" s="381"/>
    </row>
    <row r="603" spans="8:14" ht="13.5" hidden="1" thickTop="1">
      <c r="H603" s="381"/>
      <c r="I603" s="381"/>
      <c r="J603" s="381"/>
      <c r="K603" s="381"/>
      <c r="L603" s="381"/>
      <c r="M603" s="381"/>
      <c r="N603" s="381"/>
    </row>
    <row r="604" spans="8:14" ht="13.5" hidden="1" thickTop="1">
      <c r="H604" s="381"/>
      <c r="I604" s="381"/>
      <c r="J604" s="381"/>
      <c r="K604" s="381"/>
      <c r="L604" s="381"/>
      <c r="M604" s="381"/>
      <c r="N604" s="381"/>
    </row>
    <row r="605" spans="8:14" ht="13.5" hidden="1" thickTop="1">
      <c r="H605" s="381"/>
      <c r="I605" s="381"/>
      <c r="J605" s="381"/>
      <c r="K605" s="381"/>
      <c r="L605" s="381"/>
      <c r="M605" s="381"/>
      <c r="N605" s="381"/>
    </row>
    <row r="606" spans="8:14" ht="13.5" hidden="1" thickTop="1">
      <c r="H606" s="381"/>
      <c r="I606" s="381"/>
      <c r="J606" s="381"/>
      <c r="K606" s="381"/>
      <c r="L606" s="381"/>
      <c r="M606" s="381"/>
      <c r="N606" s="381"/>
    </row>
    <row r="607" spans="8:14" ht="13.5" hidden="1" thickTop="1">
      <c r="H607" s="381"/>
      <c r="I607" s="381"/>
      <c r="J607" s="381"/>
      <c r="K607" s="381"/>
      <c r="L607" s="381"/>
      <c r="M607" s="381"/>
      <c r="N607" s="381"/>
    </row>
    <row r="608" spans="8:14" ht="13.5" hidden="1" thickTop="1">
      <c r="H608" s="381"/>
      <c r="I608" s="381"/>
      <c r="J608" s="381"/>
      <c r="K608" s="381"/>
      <c r="L608" s="381"/>
      <c r="M608" s="381"/>
      <c r="N608" s="381"/>
    </row>
    <row r="609" spans="8:14" ht="13.5" hidden="1" thickTop="1">
      <c r="H609" s="381"/>
      <c r="I609" s="381"/>
      <c r="J609" s="381"/>
      <c r="K609" s="381"/>
      <c r="L609" s="381"/>
      <c r="M609" s="381"/>
      <c r="N609" s="381"/>
    </row>
    <row r="610" spans="8:14" ht="13.5" hidden="1" thickTop="1">
      <c r="H610" s="381"/>
      <c r="I610" s="381"/>
      <c r="J610" s="381"/>
      <c r="K610" s="381"/>
      <c r="L610" s="381"/>
      <c r="M610" s="381"/>
      <c r="N610" s="381"/>
    </row>
    <row r="611" spans="8:14" ht="13.5" hidden="1" thickTop="1">
      <c r="H611" s="381"/>
      <c r="I611" s="381"/>
      <c r="J611" s="381"/>
      <c r="K611" s="381"/>
      <c r="L611" s="381"/>
      <c r="M611" s="381"/>
      <c r="N611" s="381"/>
    </row>
    <row r="612" spans="8:14" ht="13.5" hidden="1" thickTop="1">
      <c r="H612" s="381"/>
      <c r="I612" s="381"/>
      <c r="J612" s="381"/>
      <c r="K612" s="381"/>
      <c r="L612" s="381"/>
      <c r="M612" s="381"/>
      <c r="N612" s="381"/>
    </row>
    <row r="613" spans="8:14" ht="13.5" hidden="1" thickTop="1">
      <c r="H613" s="381"/>
      <c r="I613" s="381"/>
      <c r="J613" s="381"/>
      <c r="K613" s="381"/>
      <c r="L613" s="381"/>
      <c r="M613" s="381"/>
      <c r="N613" s="381"/>
    </row>
    <row r="614" spans="8:14" ht="13.5" hidden="1" thickTop="1">
      <c r="H614" s="381"/>
      <c r="I614" s="381"/>
      <c r="J614" s="381"/>
      <c r="K614" s="381"/>
      <c r="L614" s="381"/>
      <c r="M614" s="381"/>
      <c r="N614" s="381"/>
    </row>
    <row r="615" spans="8:14" ht="13.5" hidden="1" thickTop="1">
      <c r="H615" s="381"/>
      <c r="I615" s="381"/>
      <c r="J615" s="381"/>
      <c r="K615" s="381"/>
      <c r="L615" s="381"/>
      <c r="M615" s="381"/>
      <c r="N615" s="381"/>
    </row>
    <row r="616" spans="8:14" ht="13.5" hidden="1" thickTop="1">
      <c r="H616" s="381"/>
      <c r="I616" s="381"/>
      <c r="J616" s="381"/>
      <c r="K616" s="381"/>
      <c r="L616" s="381"/>
      <c r="M616" s="381"/>
      <c r="N616" s="381"/>
    </row>
    <row r="617" spans="8:14" ht="13.5" hidden="1" thickTop="1">
      <c r="H617" s="381"/>
      <c r="I617" s="381"/>
      <c r="J617" s="381"/>
      <c r="K617" s="381"/>
      <c r="L617" s="381"/>
      <c r="M617" s="381"/>
      <c r="N617" s="381"/>
    </row>
    <row r="618" spans="8:14" ht="13.5" hidden="1" thickTop="1">
      <c r="H618" s="381"/>
      <c r="I618" s="381"/>
      <c r="J618" s="381"/>
      <c r="K618" s="381"/>
      <c r="L618" s="381"/>
      <c r="M618" s="381"/>
      <c r="N618" s="381"/>
    </row>
    <row r="619" spans="8:14" ht="13.5" hidden="1" thickTop="1">
      <c r="H619" s="381"/>
      <c r="I619" s="381"/>
      <c r="J619" s="381"/>
      <c r="K619" s="381"/>
      <c r="L619" s="381"/>
      <c r="M619" s="381"/>
      <c r="N619" s="381"/>
    </row>
    <row r="620" spans="8:14" ht="13.5" hidden="1" thickTop="1">
      <c r="H620" s="381"/>
      <c r="I620" s="381"/>
      <c r="J620" s="381"/>
      <c r="K620" s="381"/>
      <c r="L620" s="381"/>
      <c r="M620" s="381"/>
      <c r="N620" s="381"/>
    </row>
    <row r="621" spans="8:14" ht="13.5" hidden="1" thickTop="1">
      <c r="H621" s="381"/>
      <c r="I621" s="381"/>
      <c r="J621" s="381"/>
      <c r="K621" s="381"/>
      <c r="L621" s="381"/>
      <c r="M621" s="381"/>
      <c r="N621" s="381"/>
    </row>
    <row r="622" spans="8:14" ht="13.5" hidden="1" thickTop="1">
      <c r="H622" s="381"/>
      <c r="I622" s="381"/>
      <c r="J622" s="381"/>
      <c r="K622" s="381"/>
      <c r="L622" s="381"/>
      <c r="M622" s="381"/>
      <c r="N622" s="381"/>
    </row>
    <row r="623" spans="8:14" ht="13.5" hidden="1" thickTop="1">
      <c r="H623" s="381"/>
      <c r="I623" s="381"/>
      <c r="J623" s="381"/>
      <c r="K623" s="381"/>
      <c r="L623" s="381"/>
      <c r="M623" s="381"/>
      <c r="N623" s="381"/>
    </row>
    <row r="624" spans="8:14" ht="13.5" hidden="1" thickTop="1">
      <c r="H624" s="381"/>
      <c r="I624" s="381"/>
      <c r="J624" s="381"/>
      <c r="K624" s="381"/>
      <c r="L624" s="381"/>
      <c r="M624" s="381"/>
      <c r="N624" s="381"/>
    </row>
    <row r="625" spans="8:14" ht="13.5" hidden="1" thickTop="1">
      <c r="H625" s="381"/>
      <c r="I625" s="381"/>
      <c r="J625" s="381"/>
      <c r="K625" s="381"/>
      <c r="L625" s="381"/>
      <c r="M625" s="381"/>
      <c r="N625" s="381"/>
    </row>
    <row r="626" spans="8:14" ht="13.5" hidden="1" thickTop="1">
      <c r="H626" s="381"/>
      <c r="I626" s="381"/>
      <c r="J626" s="381"/>
      <c r="K626" s="381"/>
      <c r="L626" s="381"/>
      <c r="M626" s="381"/>
      <c r="N626" s="381"/>
    </row>
    <row r="627" spans="8:14" ht="13.5" hidden="1" thickTop="1">
      <c r="H627" s="381"/>
      <c r="I627" s="381"/>
      <c r="J627" s="381"/>
      <c r="K627" s="381"/>
      <c r="L627" s="381"/>
      <c r="M627" s="381"/>
      <c r="N627" s="381"/>
    </row>
    <row r="628" spans="8:14" ht="13.5" hidden="1" thickTop="1">
      <c r="H628" s="381"/>
      <c r="I628" s="381"/>
      <c r="J628" s="381"/>
      <c r="K628" s="381"/>
      <c r="L628" s="381"/>
      <c r="M628" s="381"/>
      <c r="N628" s="381"/>
    </row>
    <row r="629" spans="8:14" ht="13.5" hidden="1" thickTop="1">
      <c r="H629" s="381"/>
      <c r="I629" s="381"/>
      <c r="J629" s="381"/>
      <c r="K629" s="381"/>
      <c r="L629" s="381"/>
      <c r="M629" s="381"/>
      <c r="N629" s="381"/>
    </row>
    <row r="630" spans="8:14" ht="13.5" hidden="1" thickTop="1">
      <c r="H630" s="381"/>
      <c r="I630" s="381"/>
      <c r="J630" s="381"/>
      <c r="K630" s="381"/>
      <c r="L630" s="381"/>
      <c r="M630" s="381"/>
      <c r="N630" s="381"/>
    </row>
    <row r="631" spans="8:14" ht="13.5" hidden="1" thickTop="1">
      <c r="H631" s="381"/>
      <c r="I631" s="381"/>
      <c r="J631" s="381"/>
      <c r="K631" s="381"/>
      <c r="L631" s="381"/>
      <c r="M631" s="381"/>
      <c r="N631" s="381"/>
    </row>
    <row r="632" spans="8:14" ht="13.5" hidden="1" thickTop="1">
      <c r="H632" s="381"/>
      <c r="I632" s="381"/>
      <c r="J632" s="381"/>
      <c r="K632" s="381"/>
      <c r="L632" s="381"/>
      <c r="M632" s="381"/>
      <c r="N632" s="381"/>
    </row>
    <row r="633" spans="8:14" ht="13.5" hidden="1" thickTop="1">
      <c r="H633" s="381"/>
      <c r="I633" s="381"/>
      <c r="J633" s="381"/>
      <c r="K633" s="381"/>
      <c r="L633" s="381"/>
      <c r="M633" s="381"/>
      <c r="N633" s="381"/>
    </row>
    <row r="634" spans="8:14" ht="13.5" hidden="1" thickTop="1">
      <c r="H634" s="381"/>
      <c r="I634" s="381"/>
      <c r="J634" s="381"/>
      <c r="K634" s="381"/>
      <c r="L634" s="381"/>
      <c r="M634" s="381"/>
      <c r="N634" s="381"/>
    </row>
    <row r="635" spans="8:14" ht="13.5" hidden="1" thickTop="1">
      <c r="H635" s="381"/>
      <c r="I635" s="381"/>
      <c r="J635" s="381"/>
      <c r="K635" s="381"/>
      <c r="L635" s="381"/>
      <c r="M635" s="381"/>
      <c r="N635" s="381"/>
    </row>
    <row r="636" spans="8:14" ht="13.5" hidden="1" thickTop="1">
      <c r="H636" s="381"/>
      <c r="I636" s="381"/>
      <c r="J636" s="381"/>
      <c r="K636" s="381"/>
      <c r="L636" s="381"/>
      <c r="M636" s="381"/>
      <c r="N636" s="381"/>
    </row>
    <row r="637" spans="8:14" ht="13.5" hidden="1" thickTop="1">
      <c r="H637" s="381"/>
      <c r="I637" s="381"/>
      <c r="J637" s="381"/>
      <c r="K637" s="381"/>
      <c r="L637" s="381"/>
      <c r="M637" s="381"/>
      <c r="N637" s="381"/>
    </row>
    <row r="638" spans="8:14" ht="13.5" hidden="1" thickTop="1">
      <c r="H638" s="381"/>
      <c r="I638" s="381"/>
      <c r="J638" s="381"/>
      <c r="K638" s="381"/>
      <c r="L638" s="381"/>
      <c r="M638" s="381"/>
      <c r="N638" s="381"/>
    </row>
    <row r="639" spans="8:14" ht="13.5" hidden="1" thickTop="1">
      <c r="H639" s="381"/>
      <c r="I639" s="381"/>
      <c r="J639" s="381"/>
      <c r="K639" s="381"/>
      <c r="L639" s="381"/>
      <c r="M639" s="381"/>
      <c r="N639" s="381"/>
    </row>
    <row r="640" spans="8:14" ht="13.5" hidden="1" thickTop="1">
      <c r="H640" s="381"/>
      <c r="I640" s="381"/>
      <c r="J640" s="381"/>
      <c r="K640" s="381"/>
      <c r="L640" s="381"/>
      <c r="M640" s="381"/>
      <c r="N640" s="381"/>
    </row>
    <row r="641" spans="8:14" ht="13.5" hidden="1" thickTop="1">
      <c r="H641" s="381"/>
      <c r="I641" s="381"/>
      <c r="J641" s="381"/>
      <c r="K641" s="381"/>
      <c r="L641" s="381"/>
      <c r="M641" s="381"/>
      <c r="N641" s="381"/>
    </row>
    <row r="642" spans="8:14" ht="13.5" hidden="1" thickTop="1">
      <c r="H642" s="381"/>
      <c r="I642" s="381"/>
      <c r="J642" s="381"/>
      <c r="K642" s="381"/>
      <c r="L642" s="381"/>
      <c r="M642" s="381"/>
      <c r="N642" s="381"/>
    </row>
    <row r="643" spans="8:14" ht="13.5" hidden="1" thickTop="1">
      <c r="H643" s="381"/>
      <c r="I643" s="381"/>
      <c r="J643" s="381"/>
      <c r="K643" s="381"/>
      <c r="L643" s="381"/>
      <c r="M643" s="381"/>
      <c r="N643" s="381"/>
    </row>
    <row r="644" spans="8:14" ht="13.5" hidden="1" thickTop="1">
      <c r="H644" s="381"/>
      <c r="I644" s="381"/>
      <c r="J644" s="381"/>
      <c r="K644" s="381"/>
      <c r="L644" s="381"/>
      <c r="M644" s="381"/>
      <c r="N644" s="381"/>
    </row>
    <row r="645" spans="8:14" ht="13.5" hidden="1" thickTop="1">
      <c r="H645" s="381"/>
      <c r="I645" s="381"/>
      <c r="J645" s="381"/>
      <c r="K645" s="381"/>
      <c r="L645" s="381"/>
      <c r="M645" s="381"/>
      <c r="N645" s="381"/>
    </row>
    <row r="646" spans="8:14" ht="13.5" hidden="1" thickTop="1">
      <c r="H646" s="381"/>
      <c r="I646" s="381"/>
      <c r="J646" s="381"/>
      <c r="K646" s="381"/>
      <c r="L646" s="381"/>
      <c r="M646" s="381"/>
      <c r="N646" s="381"/>
    </row>
    <row r="647" spans="8:14" ht="13.5" hidden="1" thickTop="1">
      <c r="H647" s="381"/>
      <c r="I647" s="381"/>
      <c r="J647" s="381"/>
      <c r="K647" s="381"/>
      <c r="L647" s="381"/>
      <c r="M647" s="381"/>
      <c r="N647" s="381"/>
    </row>
    <row r="648" spans="8:14" ht="13.5" hidden="1" thickTop="1">
      <c r="H648" s="381"/>
      <c r="I648" s="381"/>
      <c r="J648" s="381"/>
      <c r="K648" s="381"/>
      <c r="L648" s="381"/>
      <c r="M648" s="381"/>
      <c r="N648" s="381"/>
    </row>
    <row r="649" spans="8:14" ht="13.5" hidden="1" thickTop="1">
      <c r="H649" s="381"/>
      <c r="I649" s="381"/>
      <c r="J649" s="381"/>
      <c r="K649" s="381"/>
      <c r="L649" s="381"/>
      <c r="M649" s="381"/>
      <c r="N649" s="381"/>
    </row>
    <row r="650" spans="8:14" ht="13.5" hidden="1" thickTop="1">
      <c r="H650" s="381"/>
      <c r="I650" s="381"/>
      <c r="J650" s="381"/>
      <c r="K650" s="381"/>
      <c r="L650" s="381"/>
      <c r="M650" s="381"/>
      <c r="N650" s="381"/>
    </row>
    <row r="651" spans="8:14" ht="13.5" hidden="1" thickTop="1">
      <c r="H651" s="381"/>
      <c r="I651" s="381"/>
      <c r="J651" s="381"/>
      <c r="K651" s="381"/>
      <c r="L651" s="381"/>
      <c r="M651" s="381"/>
      <c r="N651" s="381"/>
    </row>
    <row r="652" spans="8:14" ht="13.5" hidden="1" thickTop="1">
      <c r="H652" s="381"/>
      <c r="I652" s="381"/>
      <c r="J652" s="381"/>
      <c r="K652" s="381"/>
      <c r="L652" s="381"/>
      <c r="M652" s="381"/>
      <c r="N652" s="381"/>
    </row>
    <row r="653" spans="8:14" ht="13.5" hidden="1" thickTop="1">
      <c r="H653" s="381"/>
      <c r="I653" s="381"/>
      <c r="J653" s="381"/>
      <c r="K653" s="381"/>
      <c r="L653" s="381"/>
      <c r="M653" s="381"/>
      <c r="N653" s="381"/>
    </row>
    <row r="654" spans="8:14" ht="13.5" hidden="1" thickTop="1">
      <c r="H654" s="381"/>
      <c r="I654" s="381"/>
      <c r="J654" s="381"/>
      <c r="K654" s="381"/>
      <c r="L654" s="381"/>
      <c r="M654" s="381"/>
      <c r="N654" s="381"/>
    </row>
    <row r="655" spans="8:14" ht="13.5" hidden="1" thickTop="1">
      <c r="H655" s="381"/>
      <c r="I655" s="381"/>
      <c r="J655" s="381"/>
      <c r="K655" s="381"/>
      <c r="L655" s="381"/>
      <c r="M655" s="381"/>
      <c r="N655" s="381"/>
    </row>
    <row r="656" spans="8:14" ht="13.5" hidden="1" thickTop="1">
      <c r="H656" s="381"/>
      <c r="I656" s="381"/>
      <c r="J656" s="381"/>
      <c r="K656" s="381"/>
      <c r="L656" s="381"/>
      <c r="M656" s="381"/>
      <c r="N656" s="381"/>
    </row>
    <row r="657" spans="8:14" ht="13.5" hidden="1" thickTop="1">
      <c r="H657" s="381"/>
      <c r="I657" s="381"/>
      <c r="J657" s="381"/>
      <c r="K657" s="381"/>
      <c r="L657" s="381"/>
      <c r="M657" s="381"/>
      <c r="N657" s="381"/>
    </row>
    <row r="658" spans="8:14" ht="13.5" hidden="1" thickTop="1">
      <c r="H658" s="381"/>
      <c r="I658" s="381"/>
      <c r="J658" s="381"/>
      <c r="K658" s="381"/>
      <c r="L658" s="381"/>
      <c r="M658" s="381"/>
      <c r="N658" s="381"/>
    </row>
    <row r="659" spans="8:14" ht="13.5" hidden="1" thickTop="1">
      <c r="H659" s="381"/>
      <c r="I659" s="381"/>
      <c r="J659" s="381"/>
      <c r="K659" s="381"/>
      <c r="L659" s="381"/>
      <c r="M659" s="381"/>
      <c r="N659" s="381"/>
    </row>
    <row r="660" spans="8:14" ht="13.5" hidden="1" thickTop="1">
      <c r="H660" s="381"/>
      <c r="I660" s="381"/>
      <c r="J660" s="381"/>
      <c r="K660" s="381"/>
      <c r="L660" s="381"/>
      <c r="M660" s="381"/>
      <c r="N660" s="381"/>
    </row>
    <row r="661" spans="8:14" ht="13.5" hidden="1" thickTop="1">
      <c r="H661" s="381"/>
      <c r="I661" s="381"/>
      <c r="J661" s="381"/>
      <c r="K661" s="381"/>
      <c r="L661" s="381"/>
      <c r="M661" s="381"/>
      <c r="N661" s="381"/>
    </row>
    <row r="662" spans="8:14" ht="13.5" hidden="1" thickTop="1">
      <c r="H662" s="381"/>
      <c r="I662" s="381"/>
      <c r="J662" s="381"/>
      <c r="K662" s="381"/>
      <c r="L662" s="381"/>
      <c r="M662" s="381"/>
      <c r="N662" s="381"/>
    </row>
    <row r="663" spans="8:14" ht="13.5" hidden="1" thickTop="1">
      <c r="H663" s="381"/>
      <c r="I663" s="381"/>
      <c r="J663" s="381"/>
      <c r="K663" s="381"/>
      <c r="L663" s="381"/>
      <c r="M663" s="381"/>
      <c r="N663" s="381"/>
    </row>
    <row r="664" spans="8:14" ht="13.5" hidden="1" thickTop="1">
      <c r="H664" s="381"/>
      <c r="I664" s="381"/>
      <c r="J664" s="381"/>
      <c r="K664" s="381"/>
      <c r="L664" s="381"/>
      <c r="M664" s="381"/>
      <c r="N664" s="381"/>
    </row>
    <row r="665" spans="8:14" ht="13.5" hidden="1" thickTop="1">
      <c r="H665" s="381"/>
      <c r="I665" s="381"/>
      <c r="J665" s="381"/>
      <c r="K665" s="381"/>
      <c r="L665" s="381"/>
      <c r="M665" s="381"/>
      <c r="N665" s="381"/>
    </row>
    <row r="666" spans="8:14" ht="13.5" hidden="1" thickTop="1">
      <c r="H666" s="381"/>
      <c r="I666" s="381"/>
      <c r="J666" s="381"/>
      <c r="K666" s="381"/>
      <c r="L666" s="381"/>
      <c r="M666" s="381"/>
      <c r="N666" s="381"/>
    </row>
    <row r="667" spans="8:14" ht="13.5" hidden="1" thickTop="1">
      <c r="H667" s="381"/>
      <c r="I667" s="381"/>
      <c r="J667" s="381"/>
      <c r="K667" s="381"/>
      <c r="L667" s="381"/>
      <c r="M667" s="381"/>
      <c r="N667" s="381"/>
    </row>
    <row r="668" spans="8:14" ht="13.5" hidden="1" thickTop="1">
      <c r="H668" s="381"/>
      <c r="I668" s="381"/>
      <c r="J668" s="381"/>
      <c r="K668" s="381"/>
      <c r="L668" s="381"/>
      <c r="M668" s="381"/>
      <c r="N668" s="381"/>
    </row>
    <row r="669" spans="8:14" ht="13.5" hidden="1" thickTop="1">
      <c r="H669" s="381"/>
      <c r="I669" s="381"/>
      <c r="J669" s="381"/>
      <c r="K669" s="381"/>
      <c r="L669" s="381"/>
      <c r="M669" s="381"/>
      <c r="N669" s="381"/>
    </row>
    <row r="670" ht="13.5" hidden="1" thickTop="1"/>
    <row r="671" ht="13.5" thickTop="1"/>
    <row r="672" ht="12.75"/>
    <row r="673" ht="12.75"/>
    <row r="674" ht="12.75"/>
    <row r="675" ht="12.75"/>
    <row r="676" ht="12.75"/>
    <row r="677" ht="12.75"/>
    <row r="678" ht="12.75"/>
    <row r="679" ht="12.75"/>
  </sheetData>
  <sheetProtection/>
  <mergeCells count="9">
    <mergeCell ref="AB25:AD25"/>
    <mergeCell ref="Z25:AA25"/>
    <mergeCell ref="K18:M18"/>
    <mergeCell ref="E25:F25"/>
    <mergeCell ref="T72:V72"/>
    <mergeCell ref="Q43:V43"/>
    <mergeCell ref="J43:O43"/>
    <mergeCell ref="Q67:R67"/>
    <mergeCell ref="Q34:W34"/>
  </mergeCells>
  <conditionalFormatting sqref="O24">
    <cfRule type="cellIs" priority="1" dxfId="0" operator="equal" stopIfTrue="1">
      <formula>"Yes"</formula>
    </cfRule>
  </conditionalFormatting>
  <dataValidations count="9">
    <dataValidation type="whole" allowBlank="1" showInputMessage="1" showErrorMessage="1" errorTitle="Scale Validation" error="You must enter a valid scale, between zero and nine." sqref="E35">
      <formula1>0</formula1>
      <formula2>9</formula2>
    </dataValidation>
    <dataValidation type="whole" allowBlank="1" showInputMessage="1" showErrorMessage="1" errorTitle="Assistant error" error="You must enter a valid step level for Asst. Prof, between 1 and 6." sqref="E37">
      <formula1>1</formula1>
      <formula2>6</formula2>
    </dataValidation>
    <dataValidation type="whole" allowBlank="1" showInputMessage="1" showErrorMessage="1" errorTitle="Assoc Error" error="You must enter a valid step level for Assoc Prof, between 1 and 5." sqref="E38">
      <formula1>1</formula1>
      <formula2>5</formula2>
    </dataValidation>
    <dataValidation type="whole" allowBlank="1" showInputMessage="1" showErrorMessage="1" errorTitle="Prof Error" error="You must enter a valid step level for Professor, between 1 and 9." sqref="E39">
      <formula1>1</formula1>
      <formula2>9</formula2>
    </dataValidation>
    <dataValidation type="decimal" allowBlank="1" showInputMessage="1" showErrorMessage="1" errorTitle="Percent Error" error="You must enter a decimal number between 0 and 1, such as .60 to denote 60% time." sqref="E34">
      <formula1>0</formula1>
      <formula2>1</formula2>
    </dataValidation>
    <dataValidation type="decimal" allowBlank="1" showInputMessage="1" showErrorMessage="1" errorTitle="Target Percent" error="You must enter a valid percentage." sqref="F46:F65">
      <formula1>0</formula1>
      <formula2>1</formula2>
    </dataValidation>
    <dataValidation allowBlank="1" showInputMessage="1" showErrorMessage="1" errorTitle="Scale Validation" error="You must enter the letter &quot;x&quot; to calculate for Instructor." sqref="E36"/>
    <dataValidation type="whole" allowBlank="1" showInputMessage="1" showErrorMessage="1" error="Please enter a number between 1 and 11 to denote the appropriate salary cap." sqref="A55:A65">
      <formula1>1</formula1>
      <formula2>11</formula2>
    </dataValidation>
    <dataValidation type="whole" allowBlank="1" showInputMessage="1" showErrorMessage="1" errorTitle="Salary Cap" error="Enter a number between 1 and 12 to represent the appropriate NIH salary cap, if any." sqref="A46:A54">
      <formula1>1</formula1>
      <formula2>12</formula2>
    </dataValidation>
  </dataValidations>
  <hyperlinks>
    <hyperlink ref="M4" location="GenlInstr!F9" display="?"/>
    <hyperlink ref="A2" location="OffScaleInstr!B3" display="?"/>
    <hyperlink ref="F29" location="GenlInstr!D9" display="?"/>
    <hyperlink ref="F34" location="GenlInstr!B10" display="?"/>
    <hyperlink ref="F35" location="GenlInstr!D10" display="?"/>
    <hyperlink ref="F36" location="GenlInstr!F10" display="?"/>
    <hyperlink ref="Q32" location="GenlInstr!B11" display="?"/>
    <hyperlink ref="A42" location="GenlInstr!D11" display="?"/>
    <hyperlink ref="A67" location="GenlInstr!B13" display="?"/>
    <hyperlink ref="L67" location="GenlInstr!D13" display="?"/>
    <hyperlink ref="Q42" location="GenlInstr!F11" display="?"/>
  </hyperlinks>
  <printOptions/>
  <pageMargins left="0.2" right="0.2" top="0.25" bottom="0.25" header="0.33" footer="0.5"/>
  <pageSetup fitToHeight="1" fitToWidth="1" horizontalDpi="300" verticalDpi="300" orientation="landscape" scale="51" r:id="rId4"/>
  <headerFooter alignWithMargins="0">
    <oddFooter>&amp;L&amp;8Printed:  &amp;D @ &amp;T&amp;R&amp;7s:\decision\carrie\adhocs\salary templates\ucdsom_facsal_templates_042804.xls</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N115"/>
  <sheetViews>
    <sheetView showGridLines="0" showZeros="0" zoomScale="75" zoomScaleNormal="75" zoomScalePageLayoutView="0" workbookViewId="0" topLeftCell="D1">
      <selection activeCell="E6" sqref="E6"/>
    </sheetView>
  </sheetViews>
  <sheetFormatPr defaultColWidth="0" defaultRowHeight="12.75" zeroHeight="1"/>
  <cols>
    <col min="1" max="3" width="0" style="0" hidden="1" customWidth="1"/>
    <col min="4" max="4" width="10.7109375" style="0" bestFit="1" customWidth="1"/>
    <col min="5" max="5" width="9.421875" style="0" customWidth="1"/>
    <col min="6" max="6" width="20.57421875" style="0" customWidth="1"/>
    <col min="7" max="7" width="16.140625" style="2" customWidth="1"/>
    <col min="8" max="8" width="16.28125" style="2" customWidth="1"/>
    <col min="9" max="10" width="12.28125" style="2" bestFit="1" customWidth="1"/>
    <col min="11" max="11" width="15.00390625" style="0" bestFit="1" customWidth="1"/>
    <col min="12" max="12" width="11.28125" style="0" hidden="1" customWidth="1"/>
    <col min="13" max="13" width="14.28125" style="0" hidden="1" customWidth="1"/>
    <col min="14" max="14" width="10.7109375" style="0" hidden="1" customWidth="1"/>
    <col min="15" max="16384" width="0" style="0" hidden="1" customWidth="1"/>
  </cols>
  <sheetData>
    <row r="1" spans="5:6" ht="12.75">
      <c r="E1" t="s">
        <v>112</v>
      </c>
      <c r="F1" s="48">
        <f>IF(ISBLANK(Scale_Above),"",eeid_above)</f>
      </c>
    </row>
    <row r="2" spans="5:6" ht="12.75">
      <c r="E2" t="s">
        <v>126</v>
      </c>
      <c r="F2" s="48">
        <f>IF(ISBLANK(Scale_Above),"",pcn_above)</f>
      </c>
    </row>
    <row r="3" spans="5:6" ht="12.75">
      <c r="E3" t="s">
        <v>113</v>
      </c>
      <c r="F3" s="48">
        <f>IF(ISBLANK(Scale_Above),"",CONCATENATE(last_above," ,",first_above))</f>
      </c>
    </row>
    <row r="4" spans="5:6" ht="12.75">
      <c r="E4" t="s">
        <v>186</v>
      </c>
      <c r="F4" s="615">
        <f>time_above</f>
        <v>0</v>
      </c>
    </row>
    <row r="5" ht="12.75"/>
    <row r="6" ht="12.75"/>
    <row r="7" spans="4:13" ht="25.5">
      <c r="D7" s="57" t="s">
        <v>107</v>
      </c>
      <c r="E7" s="57" t="s">
        <v>108</v>
      </c>
      <c r="F7" s="57" t="s">
        <v>109</v>
      </c>
      <c r="G7" s="57" t="s">
        <v>156</v>
      </c>
      <c r="H7" s="57" t="s">
        <v>124</v>
      </c>
      <c r="I7" s="57" t="s">
        <v>111</v>
      </c>
      <c r="J7" s="57" t="s">
        <v>178</v>
      </c>
      <c r="K7" s="57" t="s">
        <v>5</v>
      </c>
      <c r="L7" s="57" t="s">
        <v>133</v>
      </c>
      <c r="M7" s="57" t="s">
        <v>134</v>
      </c>
    </row>
    <row r="8" spans="1:13" ht="12.75">
      <c r="A8" s="13">
        <f aca="true" t="shared" si="0" ref="A8:A16">IF((ISBLANK(F107)),"",F107)</f>
      </c>
      <c r="B8" t="e">
        <f>VLOOKUP(H8,AboveScaleCalc!$D$82:$E$90,2,FALSE)</f>
        <v>#N/A</v>
      </c>
      <c r="C8" t="e">
        <f aca="true" t="shared" si="1" ref="C8:C16">IF(OR(B8=3,B8=2),SUMIF($I$66:$L$66,D8,$I$67:$L$67),"")</f>
        <v>#N/A</v>
      </c>
      <c r="D8" s="2">
        <f aca="true" t="shared" si="2" ref="D8:D16">IF(A8="","",IF(ISBLANK(C107),"",C107))</f>
      </c>
      <c r="E8" s="52"/>
      <c r="F8" s="52"/>
      <c r="G8" s="616">
        <f>IF(A8="","",M8*$F$4)</f>
      </c>
      <c r="H8" s="2">
        <f aca="true" t="shared" si="3" ref="H8:H16">IF(A8="","",E107)</f>
      </c>
      <c r="K8" s="12">
        <f aca="true" t="shared" si="4" ref="K8:K14">IF(A8="","",IF(ISERROR(C8*H107),L8,L8+(C8*H107)))</f>
      </c>
      <c r="L8" s="12">
        <f aca="true" t="shared" si="5" ref="L8:L14">IF(A8="","",G107)</f>
      </c>
      <c r="M8" s="11">
        <f>IF($I$64=2,IF(ISERROR(K8/SUMIF($D$8:$D$16,D8,$K$8:$K$16)),"",K8/SUMIF($D$8:$D$16,D8,$K$8:$K$16)),A8)</f>
      </c>
    </row>
    <row r="9" spans="1:13" ht="12.75">
      <c r="A9" s="13">
        <f t="shared" si="0"/>
      </c>
      <c r="B9" t="e">
        <f>VLOOKUP(H9,AboveScaleCalc!$D$82:$E$90,2,FALSE)</f>
        <v>#N/A</v>
      </c>
      <c r="C9" t="e">
        <f t="shared" si="1"/>
        <v>#N/A</v>
      </c>
      <c r="D9" s="2">
        <f t="shared" si="2"/>
      </c>
      <c r="E9" s="52"/>
      <c r="F9" s="52"/>
      <c r="G9" s="616">
        <f aca="true" t="shared" si="6" ref="G9:G16">IF(A9="","",M9*$F$4)</f>
      </c>
      <c r="H9" s="2">
        <f t="shared" si="3"/>
      </c>
      <c r="K9" s="12">
        <f t="shared" si="4"/>
      </c>
      <c r="L9" s="12">
        <f t="shared" si="5"/>
      </c>
      <c r="M9" s="11">
        <f aca="true" t="shared" si="7" ref="M9:M16">IF($I$64=2,IF(ISERROR(K9/SUMIF($D$8:$D$16,D9,$K$8:$K$16)),"",K9/SUMIF($D$8:$D$16,D9,$K$8:$K$16)),A9)</f>
      </c>
    </row>
    <row r="10" spans="1:13" ht="12.75">
      <c r="A10" s="13">
        <f t="shared" si="0"/>
      </c>
      <c r="B10" t="e">
        <f>VLOOKUP(H10,AboveScaleCalc!$D$82:$E$90,2,FALSE)</f>
        <v>#N/A</v>
      </c>
      <c r="C10" t="e">
        <f t="shared" si="1"/>
        <v>#N/A</v>
      </c>
      <c r="D10" s="2">
        <f t="shared" si="2"/>
      </c>
      <c r="E10" s="52"/>
      <c r="F10" s="52"/>
      <c r="G10" s="616">
        <f t="shared" si="6"/>
      </c>
      <c r="H10" s="2">
        <f t="shared" si="3"/>
      </c>
      <c r="K10" s="12">
        <f t="shared" si="4"/>
      </c>
      <c r="L10" s="12">
        <f t="shared" si="5"/>
      </c>
      <c r="M10" s="11">
        <f t="shared" si="7"/>
      </c>
    </row>
    <row r="11" spans="1:13" ht="12.75">
      <c r="A11" s="13">
        <f t="shared" si="0"/>
      </c>
      <c r="B11" t="e">
        <f>VLOOKUP(H11,AboveScaleCalc!$D$82:$E$90,2,FALSE)</f>
        <v>#N/A</v>
      </c>
      <c r="C11" t="e">
        <f t="shared" si="1"/>
        <v>#N/A</v>
      </c>
      <c r="D11" s="2">
        <f t="shared" si="2"/>
      </c>
      <c r="E11" s="52"/>
      <c r="F11" s="52"/>
      <c r="G11" s="616">
        <f t="shared" si="6"/>
      </c>
      <c r="H11" s="2">
        <f t="shared" si="3"/>
      </c>
      <c r="K11" s="12">
        <f t="shared" si="4"/>
      </c>
      <c r="L11" s="12">
        <f t="shared" si="5"/>
      </c>
      <c r="M11" s="11">
        <f t="shared" si="7"/>
      </c>
    </row>
    <row r="12" spans="1:13" ht="12.75">
      <c r="A12" s="13">
        <f t="shared" si="0"/>
      </c>
      <c r="B12" t="e">
        <f>VLOOKUP(H12,AboveScaleCalc!$D$82:$E$90,2,FALSE)</f>
        <v>#N/A</v>
      </c>
      <c r="C12" t="e">
        <f t="shared" si="1"/>
        <v>#N/A</v>
      </c>
      <c r="D12" s="2">
        <f t="shared" si="2"/>
      </c>
      <c r="E12" s="52"/>
      <c r="F12" s="52"/>
      <c r="G12" s="616">
        <f t="shared" si="6"/>
      </c>
      <c r="H12" s="2">
        <f t="shared" si="3"/>
      </c>
      <c r="K12" s="12">
        <f t="shared" si="4"/>
      </c>
      <c r="L12" s="12">
        <f t="shared" si="5"/>
      </c>
      <c r="M12" s="11">
        <f t="shared" si="7"/>
      </c>
    </row>
    <row r="13" spans="1:13" ht="12.75">
      <c r="A13" s="13">
        <f t="shared" si="0"/>
      </c>
      <c r="B13" t="e">
        <f>VLOOKUP(H13,AboveScaleCalc!$D$82:$E$90,2,FALSE)</f>
        <v>#N/A</v>
      </c>
      <c r="C13" t="e">
        <f t="shared" si="1"/>
        <v>#N/A</v>
      </c>
      <c r="D13" s="2">
        <f t="shared" si="2"/>
      </c>
      <c r="E13" s="52"/>
      <c r="F13" s="52"/>
      <c r="G13" s="616">
        <f t="shared" si="6"/>
      </c>
      <c r="H13" s="2">
        <f t="shared" si="3"/>
      </c>
      <c r="K13" s="12">
        <f t="shared" si="4"/>
      </c>
      <c r="L13" s="12">
        <f t="shared" si="5"/>
      </c>
      <c r="M13" s="11">
        <f t="shared" si="7"/>
      </c>
    </row>
    <row r="14" spans="1:13" ht="12.75">
      <c r="A14" s="13">
        <f t="shared" si="0"/>
      </c>
      <c r="B14" t="e">
        <f>VLOOKUP(H14,AboveScaleCalc!$D$82:$E$90,2,FALSE)</f>
        <v>#N/A</v>
      </c>
      <c r="C14" t="e">
        <f t="shared" si="1"/>
        <v>#N/A</v>
      </c>
      <c r="D14" s="2">
        <f t="shared" si="2"/>
      </c>
      <c r="E14" s="52"/>
      <c r="F14" s="52"/>
      <c r="G14" s="616">
        <f t="shared" si="6"/>
      </c>
      <c r="H14" s="2">
        <f t="shared" si="3"/>
      </c>
      <c r="K14" s="12">
        <f t="shared" si="4"/>
      </c>
      <c r="L14" s="12">
        <f t="shared" si="5"/>
      </c>
      <c r="M14" s="11">
        <f t="shared" si="7"/>
      </c>
    </row>
    <row r="15" spans="1:13" ht="12.75">
      <c r="A15" s="13">
        <f t="shared" si="0"/>
      </c>
      <c r="B15" t="e">
        <f>VLOOKUP(H15,AboveScaleCalc!$D$82:$E$90,2,FALSE)</f>
        <v>#N/A</v>
      </c>
      <c r="C15" t="e">
        <f t="shared" si="1"/>
        <v>#N/A</v>
      </c>
      <c r="D15" s="2">
        <f t="shared" si="2"/>
      </c>
      <c r="E15" s="52"/>
      <c r="F15" s="52"/>
      <c r="G15" s="616">
        <f t="shared" si="6"/>
      </c>
      <c r="H15" s="2">
        <f t="shared" si="3"/>
      </c>
      <c r="K15" s="12">
        <f>IF(A15="","",IF(ISERROR(C15*H114),L15,L15+(C15*H114)))</f>
      </c>
      <c r="L15" s="12">
        <f>IF(A15="","",G114)</f>
      </c>
      <c r="M15" s="11">
        <f t="shared" si="7"/>
      </c>
    </row>
    <row r="16" spans="1:13" ht="12.75">
      <c r="A16" s="13">
        <f t="shared" si="0"/>
      </c>
      <c r="B16" t="e">
        <f>VLOOKUP(H16,AboveScaleCalc!$D$82:$E$90,2,FALSE)</f>
        <v>#N/A</v>
      </c>
      <c r="C16" t="e">
        <f t="shared" si="1"/>
        <v>#N/A</v>
      </c>
      <c r="D16" s="2">
        <f t="shared" si="2"/>
      </c>
      <c r="E16" s="52"/>
      <c r="F16" s="52"/>
      <c r="G16" s="616">
        <f t="shared" si="6"/>
      </c>
      <c r="H16" s="2">
        <f t="shared" si="3"/>
      </c>
      <c r="K16" s="12">
        <f>IF(A16="","",IF(ISERROR(C16*H115),L16,L16+(C16*H115)))</f>
      </c>
      <c r="L16" s="12">
        <f>IF(A16="","",G115)</f>
      </c>
      <c r="M16" s="11">
        <f t="shared" si="7"/>
      </c>
    </row>
    <row r="17" spans="4:13" s="117" customFormat="1" ht="25.5">
      <c r="D17" s="57" t="s">
        <v>107</v>
      </c>
      <c r="E17" s="57" t="s">
        <v>108</v>
      </c>
      <c r="F17" s="57" t="s">
        <v>109</v>
      </c>
      <c r="G17" s="57" t="s">
        <v>156</v>
      </c>
      <c r="H17" s="57" t="s">
        <v>124</v>
      </c>
      <c r="I17" s="57" t="s">
        <v>111</v>
      </c>
      <c r="J17" s="57" t="s">
        <v>178</v>
      </c>
      <c r="K17" s="57" t="s">
        <v>5</v>
      </c>
      <c r="L17" s="57" t="s">
        <v>133</v>
      </c>
      <c r="M17" s="57" t="s">
        <v>134</v>
      </c>
    </row>
    <row r="18" spans="1:13" ht="12.75">
      <c r="A18" s="13">
        <f aca="true" t="shared" si="8" ref="A18:A38">IF((ISBLANK(F68)),"",F68)</f>
      </c>
      <c r="B18" t="e">
        <f>VLOOKUP(H18,AboveScaleCalc!$D$82:$E$90,2,FALSE)</f>
        <v>#N/A</v>
      </c>
      <c r="C18" t="e">
        <f aca="true" t="shared" si="9" ref="C18:C24">IF(OR(B18=3,B18=2),SUMIF($I$66:$L$66,D18,$I$67:$L$67),"")</f>
        <v>#N/A</v>
      </c>
      <c r="D18" s="2">
        <f aca="true" t="shared" si="10" ref="D18:D36">IF(A18="","",IF(ISBLANK(C68),"",C68))</f>
      </c>
      <c r="E18" s="52"/>
      <c r="F18" s="52"/>
      <c r="G18" s="616">
        <f aca="true" t="shared" si="11" ref="G18:G23">IF((ISBLANK(A18)),"",M18)</f>
      </c>
      <c r="H18" s="2">
        <f aca="true" t="shared" si="12" ref="H18:H36">IF(A18="","",E68)</f>
      </c>
      <c r="K18" s="12">
        <f aca="true" t="shared" si="13" ref="K18:K36">IF(A18="","",IF(ISERROR(C18*H68),L18,L18+(C18*H68)))</f>
      </c>
      <c r="L18" s="12">
        <f aca="true" t="shared" si="14" ref="L18:L36">IF(A18="","",G68)</f>
      </c>
      <c r="M18" s="11">
        <f>IF($I$64=2,IF(ISERROR(K18/SUMIF($D$18:$D$53,D18,$K$18:$K$53)),"",K18/SUMIF($D$18:$D$53,D18,$K$18:$K$53)),A18)</f>
      </c>
    </row>
    <row r="19" spans="1:13" ht="12.75">
      <c r="A19" s="13">
        <f t="shared" si="8"/>
      </c>
      <c r="B19" t="e">
        <f>VLOOKUP(H19,AboveScaleCalc!$D$82:$E$90,2,FALSE)</f>
        <v>#N/A</v>
      </c>
      <c r="C19" t="e">
        <f t="shared" si="9"/>
        <v>#N/A</v>
      </c>
      <c r="D19" s="2">
        <f t="shared" si="10"/>
      </c>
      <c r="E19" s="52"/>
      <c r="F19" s="52"/>
      <c r="G19" s="616">
        <f t="shared" si="11"/>
      </c>
      <c r="H19" s="2">
        <f t="shared" si="12"/>
      </c>
      <c r="K19" s="12">
        <f t="shared" si="13"/>
      </c>
      <c r="L19" s="12">
        <f t="shared" si="14"/>
      </c>
      <c r="M19" s="11">
        <f aca="true" t="shared" si="15" ref="M19:M53">IF($I$64=2,IF(ISERROR(K19/SUMIF($D$18:$D$53,D19,$K$18:$K$53)),"",K19/SUMIF($D$18:$D$53,D19,$K$18:$K$53)),A19)</f>
      </c>
    </row>
    <row r="20" spans="1:13" ht="12.75">
      <c r="A20" s="13">
        <f t="shared" si="8"/>
      </c>
      <c r="B20" t="e">
        <f>VLOOKUP(H20,AboveScaleCalc!$D$82:$E$90,2,FALSE)</f>
        <v>#N/A</v>
      </c>
      <c r="C20" t="e">
        <f t="shared" si="9"/>
        <v>#N/A</v>
      </c>
      <c r="D20" s="2">
        <f t="shared" si="10"/>
      </c>
      <c r="E20" s="52"/>
      <c r="F20" s="52"/>
      <c r="G20" s="616">
        <f t="shared" si="11"/>
      </c>
      <c r="H20" s="2">
        <f t="shared" si="12"/>
      </c>
      <c r="K20" s="12">
        <f t="shared" si="13"/>
      </c>
      <c r="L20" s="12">
        <f t="shared" si="14"/>
      </c>
      <c r="M20" s="11">
        <f t="shared" si="15"/>
      </c>
    </row>
    <row r="21" spans="1:13" ht="12.75">
      <c r="A21" s="13">
        <f t="shared" si="8"/>
      </c>
      <c r="B21" t="e">
        <f>VLOOKUP(H21,AboveScaleCalc!$D$82:$E$90,2,FALSE)</f>
        <v>#N/A</v>
      </c>
      <c r="C21" t="e">
        <f t="shared" si="9"/>
        <v>#N/A</v>
      </c>
      <c r="D21" s="2">
        <f t="shared" si="10"/>
      </c>
      <c r="E21" s="52"/>
      <c r="F21" s="52"/>
      <c r="G21" s="616">
        <f t="shared" si="11"/>
      </c>
      <c r="H21" s="2">
        <f t="shared" si="12"/>
      </c>
      <c r="K21" s="12">
        <f t="shared" si="13"/>
      </c>
      <c r="L21" s="12">
        <f t="shared" si="14"/>
      </c>
      <c r="M21" s="11">
        <f t="shared" si="15"/>
      </c>
    </row>
    <row r="22" spans="1:13" ht="12.75">
      <c r="A22" s="13">
        <f t="shared" si="8"/>
      </c>
      <c r="B22" t="e">
        <f>VLOOKUP(H22,AboveScaleCalc!$D$82:$E$90,2,FALSE)</f>
        <v>#N/A</v>
      </c>
      <c r="C22" t="e">
        <f t="shared" si="9"/>
        <v>#N/A</v>
      </c>
      <c r="D22" s="2">
        <f t="shared" si="10"/>
      </c>
      <c r="E22" s="52"/>
      <c r="F22" s="52"/>
      <c r="G22" s="616">
        <f t="shared" si="11"/>
      </c>
      <c r="H22" s="2">
        <f t="shared" si="12"/>
      </c>
      <c r="K22" s="12">
        <f t="shared" si="13"/>
      </c>
      <c r="L22" s="12">
        <f t="shared" si="14"/>
      </c>
      <c r="M22" s="11">
        <f t="shared" si="15"/>
      </c>
    </row>
    <row r="23" spans="1:13" ht="12.75">
      <c r="A23" s="13">
        <f t="shared" si="8"/>
      </c>
      <c r="B23" t="e">
        <f>VLOOKUP(H23,AboveScaleCalc!$D$82:$E$90,2,FALSE)</f>
        <v>#N/A</v>
      </c>
      <c r="C23" t="e">
        <f t="shared" si="9"/>
        <v>#N/A</v>
      </c>
      <c r="D23" s="2">
        <f t="shared" si="10"/>
      </c>
      <c r="E23" s="52"/>
      <c r="F23" s="52"/>
      <c r="G23" s="616">
        <f t="shared" si="11"/>
      </c>
      <c r="H23" s="2">
        <f t="shared" si="12"/>
      </c>
      <c r="K23" s="12">
        <f t="shared" si="13"/>
      </c>
      <c r="L23" s="12">
        <f t="shared" si="14"/>
      </c>
      <c r="M23" s="11">
        <f t="shared" si="15"/>
      </c>
    </row>
    <row r="24" spans="1:13" ht="12.75">
      <c r="A24" s="13">
        <f t="shared" si="8"/>
      </c>
      <c r="B24" t="e">
        <f>VLOOKUP(H24,AboveScaleCalc!$D$82:$E$90,2,FALSE)</f>
        <v>#N/A</v>
      </c>
      <c r="C24" t="e">
        <f t="shared" si="9"/>
        <v>#N/A</v>
      </c>
      <c r="D24" s="2">
        <f t="shared" si="10"/>
      </c>
      <c r="E24" s="52"/>
      <c r="F24" s="52"/>
      <c r="G24" s="616">
        <f aca="true" t="shared" si="16" ref="G24:G36">IF((ISBLANK(A24)),"",M24)</f>
      </c>
      <c r="H24" s="2">
        <f t="shared" si="12"/>
      </c>
      <c r="K24" s="12">
        <f t="shared" si="13"/>
      </c>
      <c r="L24" s="12">
        <f t="shared" si="14"/>
      </c>
      <c r="M24" s="11">
        <f t="shared" si="15"/>
      </c>
    </row>
    <row r="25" spans="1:13" ht="12.75">
      <c r="A25" s="13">
        <f t="shared" si="8"/>
      </c>
      <c r="B25" t="e">
        <f>VLOOKUP(H25,AboveScaleCalc!$D$82:$E$90,2,FALSE)</f>
        <v>#N/A</v>
      </c>
      <c r="C25" t="e">
        <f aca="true" t="shared" si="17" ref="C25:C36">IF(OR(B25=3,B25=2),SUMIF($I$66:$L$66,D25,$I$67:$L$67),"")</f>
        <v>#N/A</v>
      </c>
      <c r="D25" s="2">
        <f t="shared" si="10"/>
      </c>
      <c r="E25" s="52"/>
      <c r="F25" s="52"/>
      <c r="G25" s="616">
        <f t="shared" si="16"/>
      </c>
      <c r="H25" s="2">
        <f t="shared" si="12"/>
      </c>
      <c r="K25" s="12">
        <f t="shared" si="13"/>
      </c>
      <c r="L25" s="12">
        <f t="shared" si="14"/>
      </c>
      <c r="M25" s="11">
        <f t="shared" si="15"/>
      </c>
    </row>
    <row r="26" spans="1:13" ht="12.75">
      <c r="A26" s="13">
        <f t="shared" si="8"/>
      </c>
      <c r="B26" t="e">
        <f>VLOOKUP(H26,AboveScaleCalc!$D$82:$E$90,2,FALSE)</f>
        <v>#N/A</v>
      </c>
      <c r="C26" t="e">
        <f t="shared" si="17"/>
        <v>#N/A</v>
      </c>
      <c r="D26" s="2">
        <f t="shared" si="10"/>
      </c>
      <c r="E26" s="52"/>
      <c r="F26" s="52"/>
      <c r="G26" s="616">
        <f t="shared" si="16"/>
      </c>
      <c r="H26" s="2">
        <f t="shared" si="12"/>
      </c>
      <c r="K26" s="12">
        <f t="shared" si="13"/>
      </c>
      <c r="L26" s="12">
        <f t="shared" si="14"/>
      </c>
      <c r="M26" s="11">
        <f t="shared" si="15"/>
      </c>
    </row>
    <row r="27" spans="1:13" ht="12.75">
      <c r="A27" s="13">
        <f t="shared" si="8"/>
      </c>
      <c r="B27" t="e">
        <f>VLOOKUP(H27,AboveScaleCalc!$D$82:$E$90,2,FALSE)</f>
        <v>#N/A</v>
      </c>
      <c r="C27" t="e">
        <f t="shared" si="17"/>
        <v>#N/A</v>
      </c>
      <c r="D27" s="2">
        <f t="shared" si="10"/>
      </c>
      <c r="E27" s="52"/>
      <c r="F27" s="52"/>
      <c r="G27" s="616">
        <f t="shared" si="16"/>
      </c>
      <c r="H27" s="2">
        <f t="shared" si="12"/>
      </c>
      <c r="K27" s="12">
        <f t="shared" si="13"/>
      </c>
      <c r="L27" s="12">
        <f t="shared" si="14"/>
      </c>
      <c r="M27" s="11">
        <f t="shared" si="15"/>
      </c>
    </row>
    <row r="28" spans="1:13" ht="12.75">
      <c r="A28" s="13">
        <f t="shared" si="8"/>
      </c>
      <c r="B28" t="e">
        <f>VLOOKUP(H28,AboveScaleCalc!$D$82:$E$90,2,FALSE)</f>
        <v>#N/A</v>
      </c>
      <c r="C28" t="e">
        <f t="shared" si="17"/>
        <v>#N/A</v>
      </c>
      <c r="D28" s="2">
        <f t="shared" si="10"/>
      </c>
      <c r="E28" s="52"/>
      <c r="F28" s="52"/>
      <c r="G28" s="616">
        <f t="shared" si="16"/>
      </c>
      <c r="H28" s="2">
        <f t="shared" si="12"/>
      </c>
      <c r="K28" s="12">
        <f t="shared" si="13"/>
      </c>
      <c r="L28" s="12">
        <f t="shared" si="14"/>
      </c>
      <c r="M28" s="11">
        <f t="shared" si="15"/>
      </c>
    </row>
    <row r="29" spans="1:13" ht="12.75">
      <c r="A29" s="13">
        <f t="shared" si="8"/>
      </c>
      <c r="B29" t="e">
        <f>VLOOKUP(H29,AboveScaleCalc!$D$82:$E$90,2,FALSE)</f>
        <v>#N/A</v>
      </c>
      <c r="C29" t="e">
        <f t="shared" si="17"/>
        <v>#N/A</v>
      </c>
      <c r="D29" s="2">
        <f t="shared" si="10"/>
      </c>
      <c r="E29" s="52"/>
      <c r="F29" s="52"/>
      <c r="G29" s="616">
        <f t="shared" si="16"/>
      </c>
      <c r="H29" s="2">
        <f t="shared" si="12"/>
      </c>
      <c r="K29" s="12">
        <f t="shared" si="13"/>
      </c>
      <c r="L29" s="12">
        <f t="shared" si="14"/>
      </c>
      <c r="M29" s="11">
        <f t="shared" si="15"/>
      </c>
    </row>
    <row r="30" spans="1:13" ht="12.75">
      <c r="A30" s="13">
        <f t="shared" si="8"/>
      </c>
      <c r="B30" t="e">
        <f>VLOOKUP(H30,AboveScaleCalc!$D$82:$E$90,2,FALSE)</f>
        <v>#N/A</v>
      </c>
      <c r="C30" t="e">
        <f t="shared" si="17"/>
        <v>#N/A</v>
      </c>
      <c r="D30" s="2">
        <f t="shared" si="10"/>
      </c>
      <c r="E30" s="52"/>
      <c r="F30" s="52"/>
      <c r="G30" s="616">
        <f t="shared" si="16"/>
      </c>
      <c r="H30" s="2">
        <f t="shared" si="12"/>
      </c>
      <c r="K30" s="12">
        <f t="shared" si="13"/>
      </c>
      <c r="L30" s="12">
        <f t="shared" si="14"/>
      </c>
      <c r="M30" s="11">
        <f t="shared" si="15"/>
      </c>
    </row>
    <row r="31" spans="1:13" ht="12.75">
      <c r="A31" s="13">
        <f t="shared" si="8"/>
      </c>
      <c r="B31" t="e">
        <f>VLOOKUP(H31,AboveScaleCalc!$D$82:$E$90,2,FALSE)</f>
        <v>#N/A</v>
      </c>
      <c r="C31" t="e">
        <f t="shared" si="17"/>
        <v>#N/A</v>
      </c>
      <c r="D31" s="2">
        <f t="shared" si="10"/>
      </c>
      <c r="E31" s="52"/>
      <c r="F31" s="52"/>
      <c r="G31" s="616">
        <f t="shared" si="16"/>
      </c>
      <c r="H31" s="2">
        <f t="shared" si="12"/>
      </c>
      <c r="K31" s="12">
        <f t="shared" si="13"/>
      </c>
      <c r="L31" s="12">
        <f t="shared" si="14"/>
      </c>
      <c r="M31" s="11">
        <f t="shared" si="15"/>
      </c>
    </row>
    <row r="32" spans="1:13" ht="12.75">
      <c r="A32" s="13">
        <f t="shared" si="8"/>
      </c>
      <c r="B32" t="e">
        <f>VLOOKUP(H32,AboveScaleCalc!$D$82:$E$90,2,FALSE)</f>
        <v>#N/A</v>
      </c>
      <c r="C32" t="e">
        <f t="shared" si="17"/>
        <v>#N/A</v>
      </c>
      <c r="D32" s="2">
        <f t="shared" si="10"/>
      </c>
      <c r="E32" s="52"/>
      <c r="F32" s="52"/>
      <c r="G32" s="616">
        <f t="shared" si="16"/>
      </c>
      <c r="H32" s="2">
        <f t="shared" si="12"/>
      </c>
      <c r="K32" s="12">
        <f t="shared" si="13"/>
      </c>
      <c r="L32" s="12">
        <f t="shared" si="14"/>
      </c>
      <c r="M32" s="11">
        <f t="shared" si="15"/>
      </c>
    </row>
    <row r="33" spans="1:13" ht="12.75">
      <c r="A33" s="13">
        <f t="shared" si="8"/>
      </c>
      <c r="B33" t="e">
        <f>VLOOKUP(H33,AboveScaleCalc!$D$82:$E$90,2,FALSE)</f>
        <v>#N/A</v>
      </c>
      <c r="C33" t="e">
        <f t="shared" si="17"/>
        <v>#N/A</v>
      </c>
      <c r="D33" s="2">
        <f t="shared" si="10"/>
      </c>
      <c r="E33" s="52"/>
      <c r="F33" s="52"/>
      <c r="G33" s="616">
        <f t="shared" si="16"/>
      </c>
      <c r="H33" s="2">
        <f t="shared" si="12"/>
      </c>
      <c r="K33" s="12">
        <f t="shared" si="13"/>
      </c>
      <c r="L33" s="12">
        <f t="shared" si="14"/>
      </c>
      <c r="M33" s="11">
        <f t="shared" si="15"/>
      </c>
    </row>
    <row r="34" spans="1:13" ht="12.75">
      <c r="A34" s="13">
        <f t="shared" si="8"/>
      </c>
      <c r="B34" t="e">
        <f>VLOOKUP(H34,AboveScaleCalc!$D$82:$E$90,2,FALSE)</f>
        <v>#N/A</v>
      </c>
      <c r="C34" t="e">
        <f t="shared" si="17"/>
        <v>#N/A</v>
      </c>
      <c r="D34" s="2">
        <f t="shared" si="10"/>
      </c>
      <c r="E34" s="52"/>
      <c r="F34" s="52"/>
      <c r="G34" s="616">
        <f t="shared" si="16"/>
      </c>
      <c r="H34" s="2">
        <f t="shared" si="12"/>
      </c>
      <c r="K34" s="12">
        <f t="shared" si="13"/>
      </c>
      <c r="L34" s="12">
        <f t="shared" si="14"/>
      </c>
      <c r="M34" s="11">
        <f t="shared" si="15"/>
      </c>
    </row>
    <row r="35" spans="1:13" ht="12.75">
      <c r="A35" s="13">
        <f t="shared" si="8"/>
      </c>
      <c r="B35" t="e">
        <f>VLOOKUP(H35,AboveScaleCalc!$D$82:$E$90,2,FALSE)</f>
        <v>#N/A</v>
      </c>
      <c r="C35" t="e">
        <f t="shared" si="17"/>
        <v>#N/A</v>
      </c>
      <c r="D35" s="2">
        <f t="shared" si="10"/>
      </c>
      <c r="E35" s="52"/>
      <c r="F35" s="52"/>
      <c r="G35" s="616">
        <f t="shared" si="16"/>
      </c>
      <c r="H35" s="2">
        <f t="shared" si="12"/>
      </c>
      <c r="K35" s="12">
        <f t="shared" si="13"/>
      </c>
      <c r="L35" s="12">
        <f t="shared" si="14"/>
      </c>
      <c r="M35" s="11">
        <f t="shared" si="15"/>
      </c>
    </row>
    <row r="36" spans="1:13" ht="12.75">
      <c r="A36" s="13">
        <f t="shared" si="8"/>
      </c>
      <c r="B36" t="e">
        <f>VLOOKUP(H36,AboveScaleCalc!$D$82:$E$90,2,FALSE)</f>
        <v>#N/A</v>
      </c>
      <c r="C36" t="e">
        <f t="shared" si="17"/>
        <v>#N/A</v>
      </c>
      <c r="D36" s="2">
        <f t="shared" si="10"/>
      </c>
      <c r="E36" s="52"/>
      <c r="F36" s="52"/>
      <c r="G36" s="616">
        <f t="shared" si="16"/>
      </c>
      <c r="H36" s="2">
        <f t="shared" si="12"/>
      </c>
      <c r="K36" s="12">
        <f t="shared" si="13"/>
      </c>
      <c r="L36" s="12">
        <f t="shared" si="14"/>
      </c>
      <c r="M36" s="11">
        <f t="shared" si="15"/>
      </c>
    </row>
    <row r="37" spans="1:13" ht="12.75">
      <c r="A37" s="13">
        <f t="shared" si="8"/>
      </c>
      <c r="B37" t="e">
        <f>VLOOKUP(H37,AboveScaleCalc!$D$82:$E$90,2,FALSE)</f>
        <v>#N/A</v>
      </c>
      <c r="C37" t="e">
        <f aca="true" t="shared" si="18" ref="C37:C53">IF(OR(B37=3,B37=2),SUMIF($I$66:$L$66,D37,$I$67:$L$67),"")</f>
        <v>#N/A</v>
      </c>
      <c r="D37" s="2">
        <f aca="true" t="shared" si="19" ref="D37:D53">IF(A37="","",IF(ISBLANK(C87),"",C87))</f>
      </c>
      <c r="E37" s="52"/>
      <c r="F37" s="52"/>
      <c r="G37" s="616">
        <f aca="true" t="shared" si="20" ref="G37:G53">IF((ISBLANK(A37)),"",M37)</f>
      </c>
      <c r="H37" s="2">
        <f aca="true" t="shared" si="21" ref="H37:H53">IF(A37="","",E87)</f>
      </c>
      <c r="K37" s="12">
        <f aca="true" t="shared" si="22" ref="K37:K53">IF(A37="","",IF(ISERROR(C37*H87),L37,L37+(C37*H87)))</f>
      </c>
      <c r="L37" s="12">
        <f aca="true" t="shared" si="23" ref="L37:L53">IF(A37="","",G87)</f>
      </c>
      <c r="M37" s="11">
        <f t="shared" si="15"/>
      </c>
    </row>
    <row r="38" spans="1:13" ht="12.75">
      <c r="A38" s="13">
        <f t="shared" si="8"/>
      </c>
      <c r="B38" t="e">
        <f>VLOOKUP(H38,AboveScaleCalc!$D$82:$E$90,2,FALSE)</f>
        <v>#N/A</v>
      </c>
      <c r="C38" t="e">
        <f t="shared" si="18"/>
        <v>#N/A</v>
      </c>
      <c r="D38" s="2">
        <f t="shared" si="19"/>
      </c>
      <c r="E38" s="52"/>
      <c r="F38" s="52"/>
      <c r="G38" s="616">
        <f t="shared" si="20"/>
      </c>
      <c r="H38" s="2">
        <f t="shared" si="21"/>
      </c>
      <c r="K38" s="12">
        <f t="shared" si="22"/>
      </c>
      <c r="L38" s="12">
        <f t="shared" si="23"/>
      </c>
      <c r="M38" s="11">
        <f t="shared" si="15"/>
      </c>
    </row>
    <row r="39" spans="1:13" s="588" customFormat="1" ht="12.75">
      <c r="A39" s="13">
        <f aca="true" t="shared" si="24" ref="A39:A53">IF((ISBLANK(F89)),"",F89)</f>
      </c>
      <c r="B39" t="e">
        <f>VLOOKUP(H39,AboveScaleCalc!$D$82:$E$90,2,FALSE)</f>
        <v>#N/A</v>
      </c>
      <c r="C39" t="e">
        <f t="shared" si="18"/>
        <v>#N/A</v>
      </c>
      <c r="D39" s="2">
        <f t="shared" si="19"/>
      </c>
      <c r="E39" s="52"/>
      <c r="F39" s="52"/>
      <c r="G39" s="616">
        <f t="shared" si="20"/>
      </c>
      <c r="H39" s="2">
        <f t="shared" si="21"/>
      </c>
      <c r="I39" s="2"/>
      <c r="J39" s="2"/>
      <c r="K39" s="12">
        <f t="shared" si="22"/>
      </c>
      <c r="L39" s="12">
        <f t="shared" si="23"/>
      </c>
      <c r="M39" s="11">
        <f t="shared" si="15"/>
      </c>
    </row>
    <row r="40" spans="1:13" s="588" customFormat="1" ht="12.75">
      <c r="A40" s="13">
        <f t="shared" si="24"/>
      </c>
      <c r="B40" t="e">
        <f>VLOOKUP(H40,AboveScaleCalc!$D$82:$E$90,2,FALSE)</f>
        <v>#N/A</v>
      </c>
      <c r="C40" t="e">
        <f t="shared" si="18"/>
        <v>#N/A</v>
      </c>
      <c r="D40" s="2">
        <f t="shared" si="19"/>
      </c>
      <c r="E40" s="52"/>
      <c r="F40" s="52"/>
      <c r="G40" s="616">
        <f t="shared" si="20"/>
      </c>
      <c r="H40" s="2">
        <f t="shared" si="21"/>
      </c>
      <c r="I40" s="2"/>
      <c r="J40" s="2"/>
      <c r="K40" s="12">
        <f t="shared" si="22"/>
      </c>
      <c r="L40" s="12">
        <f t="shared" si="23"/>
      </c>
      <c r="M40" s="11">
        <f t="shared" si="15"/>
      </c>
    </row>
    <row r="41" spans="1:13" s="588" customFormat="1" ht="12.75">
      <c r="A41" s="13">
        <f t="shared" si="24"/>
      </c>
      <c r="B41" t="e">
        <f>VLOOKUP(H41,AboveScaleCalc!$D$82:$E$90,2,FALSE)</f>
        <v>#N/A</v>
      </c>
      <c r="C41" t="e">
        <f t="shared" si="18"/>
        <v>#N/A</v>
      </c>
      <c r="D41" s="2">
        <f t="shared" si="19"/>
      </c>
      <c r="E41" s="52"/>
      <c r="F41" s="52"/>
      <c r="G41" s="616">
        <f t="shared" si="20"/>
      </c>
      <c r="H41" s="2">
        <f t="shared" si="21"/>
      </c>
      <c r="I41" s="2"/>
      <c r="J41" s="2"/>
      <c r="K41" s="12">
        <f t="shared" si="22"/>
      </c>
      <c r="L41" s="12">
        <f t="shared" si="23"/>
      </c>
      <c r="M41" s="11">
        <f t="shared" si="15"/>
      </c>
    </row>
    <row r="42" spans="1:13" s="588" customFormat="1" ht="12.75">
      <c r="A42" s="13">
        <f t="shared" si="24"/>
      </c>
      <c r="B42" t="e">
        <f>VLOOKUP(H42,AboveScaleCalc!$D$82:$E$90,2,FALSE)</f>
        <v>#N/A</v>
      </c>
      <c r="C42" t="e">
        <f t="shared" si="18"/>
        <v>#N/A</v>
      </c>
      <c r="D42" s="2">
        <f t="shared" si="19"/>
      </c>
      <c r="E42" s="52"/>
      <c r="F42" s="52"/>
      <c r="G42" s="616">
        <f t="shared" si="20"/>
      </c>
      <c r="H42" s="2">
        <f t="shared" si="21"/>
      </c>
      <c r="I42" s="2"/>
      <c r="J42" s="2"/>
      <c r="K42" s="12">
        <f t="shared" si="22"/>
      </c>
      <c r="L42" s="12">
        <f t="shared" si="23"/>
      </c>
      <c r="M42" s="11">
        <f t="shared" si="15"/>
      </c>
    </row>
    <row r="43" spans="1:13" s="588" customFormat="1" ht="12.75">
      <c r="A43" s="13">
        <f t="shared" si="24"/>
      </c>
      <c r="B43" t="e">
        <f>VLOOKUP(H43,AboveScaleCalc!$D$82:$E$90,2,FALSE)</f>
        <v>#N/A</v>
      </c>
      <c r="C43" t="e">
        <f t="shared" si="18"/>
        <v>#N/A</v>
      </c>
      <c r="D43" s="2">
        <f t="shared" si="19"/>
      </c>
      <c r="E43" s="52"/>
      <c r="F43" s="52"/>
      <c r="G43" s="616">
        <f t="shared" si="20"/>
      </c>
      <c r="H43" s="2">
        <f t="shared" si="21"/>
      </c>
      <c r="I43" s="2"/>
      <c r="J43" s="2"/>
      <c r="K43" s="12">
        <f t="shared" si="22"/>
      </c>
      <c r="L43" s="12">
        <f t="shared" si="23"/>
      </c>
      <c r="M43" s="11">
        <f t="shared" si="15"/>
      </c>
    </row>
    <row r="44" spans="1:13" s="588" customFormat="1" ht="12.75">
      <c r="A44" s="13">
        <f t="shared" si="24"/>
      </c>
      <c r="B44" t="e">
        <f>VLOOKUP(H44,AboveScaleCalc!$D$82:$E$90,2,FALSE)</f>
        <v>#N/A</v>
      </c>
      <c r="C44" t="e">
        <f t="shared" si="18"/>
        <v>#N/A</v>
      </c>
      <c r="D44" s="2">
        <f t="shared" si="19"/>
      </c>
      <c r="E44" s="52"/>
      <c r="F44" s="52"/>
      <c r="G44" s="616">
        <f t="shared" si="20"/>
      </c>
      <c r="H44" s="2">
        <f t="shared" si="21"/>
      </c>
      <c r="I44" s="2"/>
      <c r="J44" s="2"/>
      <c r="K44" s="12">
        <f t="shared" si="22"/>
      </c>
      <c r="L44" s="12">
        <f t="shared" si="23"/>
      </c>
      <c r="M44" s="11">
        <f t="shared" si="15"/>
      </c>
    </row>
    <row r="45" spans="1:13" s="588" customFormat="1" ht="12.75">
      <c r="A45" s="13">
        <f t="shared" si="24"/>
      </c>
      <c r="B45" t="e">
        <f>VLOOKUP(H45,AboveScaleCalc!$D$82:$E$90,2,FALSE)</f>
        <v>#N/A</v>
      </c>
      <c r="C45" t="e">
        <f t="shared" si="18"/>
        <v>#N/A</v>
      </c>
      <c r="D45" s="2">
        <f t="shared" si="19"/>
      </c>
      <c r="E45" s="52"/>
      <c r="F45" s="52"/>
      <c r="G45" s="616">
        <f t="shared" si="20"/>
      </c>
      <c r="H45" s="2">
        <f t="shared" si="21"/>
      </c>
      <c r="I45" s="2"/>
      <c r="J45" s="2"/>
      <c r="K45" s="12">
        <f t="shared" si="22"/>
      </c>
      <c r="L45" s="12">
        <f t="shared" si="23"/>
      </c>
      <c r="M45" s="11">
        <f t="shared" si="15"/>
      </c>
    </row>
    <row r="46" spans="1:13" s="588" customFormat="1" ht="12.75">
      <c r="A46" s="13">
        <f t="shared" si="24"/>
      </c>
      <c r="B46" t="e">
        <f>VLOOKUP(H46,AboveScaleCalc!$D$82:$E$90,2,FALSE)</f>
        <v>#N/A</v>
      </c>
      <c r="C46" t="e">
        <f t="shared" si="18"/>
        <v>#N/A</v>
      </c>
      <c r="D46" s="2">
        <f t="shared" si="19"/>
      </c>
      <c r="E46" s="52"/>
      <c r="F46" s="52"/>
      <c r="G46" s="616">
        <f t="shared" si="20"/>
      </c>
      <c r="H46" s="2">
        <f t="shared" si="21"/>
      </c>
      <c r="I46" s="2"/>
      <c r="J46" s="2"/>
      <c r="K46" s="12">
        <f t="shared" si="22"/>
      </c>
      <c r="L46" s="12">
        <f t="shared" si="23"/>
      </c>
      <c r="M46" s="11">
        <f t="shared" si="15"/>
      </c>
    </row>
    <row r="47" spans="1:13" s="588" customFormat="1" ht="12.75">
      <c r="A47" s="13">
        <f t="shared" si="24"/>
      </c>
      <c r="B47" t="e">
        <f>VLOOKUP(H47,AboveScaleCalc!$D$82:$E$90,2,FALSE)</f>
        <v>#N/A</v>
      </c>
      <c r="C47" t="e">
        <f t="shared" si="18"/>
        <v>#N/A</v>
      </c>
      <c r="D47" s="2">
        <f t="shared" si="19"/>
      </c>
      <c r="E47" s="52"/>
      <c r="F47" s="52"/>
      <c r="G47" s="616">
        <f t="shared" si="20"/>
      </c>
      <c r="H47" s="2">
        <f t="shared" si="21"/>
      </c>
      <c r="I47" s="2"/>
      <c r="J47" s="2"/>
      <c r="K47" s="12">
        <f t="shared" si="22"/>
      </c>
      <c r="L47" s="12">
        <f t="shared" si="23"/>
      </c>
      <c r="M47" s="11">
        <f t="shared" si="15"/>
      </c>
    </row>
    <row r="48" spans="1:13" s="588" customFormat="1" ht="12.75">
      <c r="A48" s="13">
        <f t="shared" si="24"/>
      </c>
      <c r="B48" t="e">
        <f>VLOOKUP(H48,AboveScaleCalc!$D$82:$E$90,2,FALSE)</f>
        <v>#N/A</v>
      </c>
      <c r="C48" t="e">
        <f t="shared" si="18"/>
        <v>#N/A</v>
      </c>
      <c r="D48" s="2">
        <f t="shared" si="19"/>
      </c>
      <c r="E48" s="52"/>
      <c r="F48" s="52"/>
      <c r="G48" s="616">
        <f t="shared" si="20"/>
      </c>
      <c r="H48" s="2">
        <f t="shared" si="21"/>
      </c>
      <c r="I48" s="2"/>
      <c r="J48" s="2"/>
      <c r="K48" s="12">
        <f t="shared" si="22"/>
      </c>
      <c r="L48" s="12">
        <f t="shared" si="23"/>
      </c>
      <c r="M48" s="11">
        <f t="shared" si="15"/>
      </c>
    </row>
    <row r="49" spans="1:13" s="588" customFormat="1" ht="12.75">
      <c r="A49" s="13">
        <f t="shared" si="24"/>
      </c>
      <c r="B49" t="e">
        <f>VLOOKUP(H49,AboveScaleCalc!$D$82:$E$90,2,FALSE)</f>
        <v>#N/A</v>
      </c>
      <c r="C49" t="e">
        <f t="shared" si="18"/>
        <v>#N/A</v>
      </c>
      <c r="D49" s="2">
        <f t="shared" si="19"/>
      </c>
      <c r="E49" s="52"/>
      <c r="F49" s="52"/>
      <c r="G49" s="616">
        <f t="shared" si="20"/>
      </c>
      <c r="H49" s="2">
        <f t="shared" si="21"/>
      </c>
      <c r="I49" s="2"/>
      <c r="J49" s="2"/>
      <c r="K49" s="12">
        <f t="shared" si="22"/>
      </c>
      <c r="L49" s="12">
        <f t="shared" si="23"/>
      </c>
      <c r="M49" s="11">
        <f t="shared" si="15"/>
      </c>
    </row>
    <row r="50" spans="1:13" s="588" customFormat="1" ht="12.75">
      <c r="A50" s="13">
        <f t="shared" si="24"/>
      </c>
      <c r="B50" t="e">
        <f>VLOOKUP(H50,AboveScaleCalc!$D$82:$E$90,2,FALSE)</f>
        <v>#N/A</v>
      </c>
      <c r="C50" t="e">
        <f t="shared" si="18"/>
        <v>#N/A</v>
      </c>
      <c r="D50" s="2">
        <f t="shared" si="19"/>
      </c>
      <c r="E50" s="52"/>
      <c r="F50" s="52"/>
      <c r="G50" s="616">
        <f t="shared" si="20"/>
      </c>
      <c r="H50" s="2">
        <f t="shared" si="21"/>
      </c>
      <c r="I50" s="2"/>
      <c r="J50" s="2"/>
      <c r="K50" s="12">
        <f t="shared" si="22"/>
      </c>
      <c r="L50" s="12">
        <f t="shared" si="23"/>
      </c>
      <c r="M50" s="11">
        <f t="shared" si="15"/>
      </c>
    </row>
    <row r="51" spans="1:13" s="588" customFormat="1" ht="12.75">
      <c r="A51" s="13">
        <f t="shared" si="24"/>
      </c>
      <c r="B51" t="e">
        <f>VLOOKUP(H51,AboveScaleCalc!$D$82:$E$90,2,FALSE)</f>
        <v>#N/A</v>
      </c>
      <c r="C51" t="e">
        <f t="shared" si="18"/>
        <v>#N/A</v>
      </c>
      <c r="D51" s="2">
        <f t="shared" si="19"/>
      </c>
      <c r="E51" s="52"/>
      <c r="F51" s="52"/>
      <c r="G51" s="616">
        <f t="shared" si="20"/>
      </c>
      <c r="H51" s="2">
        <f t="shared" si="21"/>
      </c>
      <c r="I51" s="2"/>
      <c r="J51" s="2"/>
      <c r="K51" s="12">
        <f t="shared" si="22"/>
      </c>
      <c r="L51" s="12">
        <f t="shared" si="23"/>
      </c>
      <c r="M51" s="11">
        <f t="shared" si="15"/>
      </c>
    </row>
    <row r="52" spans="1:13" s="588" customFormat="1" ht="12.75">
      <c r="A52" s="13">
        <f t="shared" si="24"/>
      </c>
      <c r="B52" t="e">
        <f>VLOOKUP(H52,AboveScaleCalc!$D$82:$E$90,2,FALSE)</f>
        <v>#N/A</v>
      </c>
      <c r="C52" t="e">
        <f t="shared" si="18"/>
        <v>#N/A</v>
      </c>
      <c r="D52" s="2">
        <f t="shared" si="19"/>
      </c>
      <c r="E52" s="52"/>
      <c r="F52" s="52"/>
      <c r="G52" s="616">
        <f t="shared" si="20"/>
      </c>
      <c r="H52" s="2">
        <f t="shared" si="21"/>
      </c>
      <c r="I52" s="2"/>
      <c r="J52" s="2"/>
      <c r="K52" s="12">
        <f t="shared" si="22"/>
      </c>
      <c r="L52" s="12">
        <f t="shared" si="23"/>
      </c>
      <c r="M52" s="11">
        <f t="shared" si="15"/>
      </c>
    </row>
    <row r="53" spans="1:13" s="588" customFormat="1" ht="12.75">
      <c r="A53" s="13">
        <f t="shared" si="24"/>
      </c>
      <c r="B53" t="e">
        <f>VLOOKUP(H53,AboveScaleCalc!$D$82:$E$90,2,FALSE)</f>
        <v>#N/A</v>
      </c>
      <c r="C53" t="e">
        <f t="shared" si="18"/>
        <v>#N/A</v>
      </c>
      <c r="D53" s="2">
        <f t="shared" si="19"/>
      </c>
      <c r="E53" s="52"/>
      <c r="F53" s="52"/>
      <c r="G53" s="616">
        <f t="shared" si="20"/>
      </c>
      <c r="H53" s="2">
        <f t="shared" si="21"/>
      </c>
      <c r="I53" s="2"/>
      <c r="J53" s="2"/>
      <c r="K53" s="12">
        <f t="shared" si="22"/>
      </c>
      <c r="L53" s="12">
        <f t="shared" si="23"/>
      </c>
      <c r="M53" s="11">
        <f t="shared" si="15"/>
      </c>
    </row>
    <row r="54" spans="1:13" s="588" customFormat="1" ht="12.75">
      <c r="A54" s="587"/>
      <c r="D54" s="2"/>
      <c r="E54" s="52"/>
      <c r="F54" s="52"/>
      <c r="G54" s="616"/>
      <c r="H54" s="2"/>
      <c r="I54" s="2"/>
      <c r="J54" s="2"/>
      <c r="K54" s="589"/>
      <c r="L54" s="589"/>
      <c r="M54" s="637"/>
    </row>
    <row r="55" spans="1:13" s="639" customFormat="1" ht="15.75">
      <c r="A55" s="638"/>
      <c r="C55" s="639">
        <f>IF(OR(B55=3,B55=2),SUMIF($I$66:$L$66,D55,$I$67:$L$67),"")</f>
      </c>
      <c r="D55" s="860">
        <f>IF($I$64=3,"UNFUNDED DIFFERENTIALS","")</f>
      </c>
      <c r="E55" s="860"/>
      <c r="F55" s="860"/>
      <c r="G55" s="860"/>
      <c r="H55" s="860"/>
      <c r="I55" s="860"/>
      <c r="J55" s="860"/>
      <c r="K55" s="860"/>
      <c r="L55" s="640"/>
      <c r="M55" s="641"/>
    </row>
    <row r="56" spans="4:13" s="642" customFormat="1" ht="12.75">
      <c r="D56" s="643">
        <f>IF($I$64=3,D17,"")</f>
      </c>
      <c r="E56" s="643">
        <f>IF($I$64=3,E17,"")</f>
      </c>
      <c r="F56" s="643">
        <f aca="true" t="shared" si="25" ref="F56:K56">IF($I$64=3,F17,"")</f>
      </c>
      <c r="G56" s="643">
        <f t="shared" si="25"/>
      </c>
      <c r="H56" s="643">
        <f t="shared" si="25"/>
      </c>
      <c r="I56" s="643">
        <f t="shared" si="25"/>
      </c>
      <c r="J56" s="643">
        <f t="shared" si="25"/>
      </c>
      <c r="K56" s="643">
        <f t="shared" si="25"/>
      </c>
      <c r="L56" s="643"/>
      <c r="M56" s="643"/>
    </row>
    <row r="57" spans="1:13" s="639" customFormat="1" ht="12.75">
      <c r="A57" s="638"/>
      <c r="D57" s="644">
        <f>IF(AND(I65&lt;1,$I$64=3),I66,"")</f>
      </c>
      <c r="E57" s="645"/>
      <c r="F57" s="645"/>
      <c r="G57" s="646">
        <f>IF(ISBLANK(M57),"",M57)</f>
      </c>
      <c r="H57" s="620"/>
      <c r="I57" s="620"/>
      <c r="J57" s="644"/>
      <c r="K57" s="640">
        <f>IF($I$64=3,dos1_diff_above,"")</f>
      </c>
      <c r="L57" s="640"/>
      <c r="M57" s="641">
        <f>IF($I$64=3,IF(D57="REG",$F$4-SUMIF($I$66:$L$66,D57,$I$65:$L$65),1-SUMIF($I$66:$L$66,D57,$I$65:$L$65)),"")</f>
      </c>
    </row>
    <row r="58" spans="1:13" s="639" customFormat="1" ht="12.75">
      <c r="A58" s="638"/>
      <c r="D58" s="644">
        <f>IF(AND($J$65&lt;1,$I$64=3),$J$66,"")</f>
      </c>
      <c r="E58" s="645"/>
      <c r="F58" s="645"/>
      <c r="G58" s="646">
        <f>IF(ISBLANK(M58),"",M58)</f>
      </c>
      <c r="H58" s="620"/>
      <c r="I58" s="620"/>
      <c r="J58" s="644"/>
      <c r="K58" s="640">
        <f>IF($I$64=3,dos2_diff_above,"")</f>
      </c>
      <c r="L58" s="640"/>
      <c r="M58" s="641">
        <f>IF($I$64=3,IF(D58="REG",$F$4-SUMIF($I$66:$L$66,D58,$I$65:$L$65),1-SUMIF($I$66:$L$66,D58,$I$65:$L$65)),"")</f>
      </c>
    </row>
    <row r="59" spans="1:13" s="639" customFormat="1" ht="12.75">
      <c r="A59" s="638"/>
      <c r="D59" s="644">
        <f>IF(AND($K$65&lt;1,$I$64=3),$K$66,"")</f>
      </c>
      <c r="E59" s="645"/>
      <c r="F59" s="645"/>
      <c r="G59" s="646">
        <f>IF(ISBLANK(M59),"",M59)</f>
      </c>
      <c r="H59" s="620"/>
      <c r="I59" s="620"/>
      <c r="J59" s="644"/>
      <c r="K59" s="640">
        <f>IF($I$64=3,dos3_diff_above,"")</f>
      </c>
      <c r="L59" s="640"/>
      <c r="M59" s="641">
        <f>IF($I$64=3,IF(D59="REG",$F$4-SUMIF($I$66:$L$66,D59,$I$65:$L$65),1-SUMIF($I$66:$L$66,D59,$I$65:$L$65)),"")</f>
      </c>
    </row>
    <row r="60" spans="1:13" s="639" customFormat="1" ht="12.75">
      <c r="A60" s="638"/>
      <c r="D60" s="644">
        <f>IF(AND($L$65&lt;1,$I$64=3),$L$66,"")</f>
      </c>
      <c r="E60" s="645"/>
      <c r="F60" s="645"/>
      <c r="G60" s="646">
        <f>IF(ISBLANK(M60),"",M60)</f>
      </c>
      <c r="H60" s="620"/>
      <c r="I60" s="620"/>
      <c r="J60" s="644"/>
      <c r="K60" s="640">
        <f>IF($I$64=3,dos4_diff_above,"")</f>
      </c>
      <c r="L60" s="640"/>
      <c r="M60" s="641">
        <f>IF($I$64=3,IF(D60="REG",$F$4-SUMIF($I$66:$L$66,D60,$I$65:$L$65),1-SUMIF($I$66:$L$66,D60,$I$65:$L$65)),"")</f>
      </c>
    </row>
    <row r="61" spans="1:13" ht="15.75">
      <c r="A61" s="13"/>
      <c r="D61" s="2"/>
      <c r="E61" s="556"/>
      <c r="F61" s="556" t="s">
        <v>170</v>
      </c>
      <c r="G61" s="616"/>
      <c r="K61" s="557">
        <f>SUM(K8:K60)</f>
        <v>0</v>
      </c>
      <c r="L61" s="12">
        <f>IF(A61="","",G87)</f>
      </c>
      <c r="M61" s="53"/>
    </row>
    <row r="62" spans="7:10" s="5" customFormat="1" ht="12.75" hidden="1">
      <c r="G62" s="617"/>
      <c r="H62" s="621"/>
      <c r="I62" s="621"/>
      <c r="J62" s="621"/>
    </row>
    <row r="63" ht="12.75" hidden="1">
      <c r="G63" s="616"/>
    </row>
    <row r="64" spans="8:9" ht="12.75" hidden="1">
      <c r="H64" s="2" t="s">
        <v>182</v>
      </c>
      <c r="I64" s="2">
        <f>cap_option_above</f>
        <v>1</v>
      </c>
    </row>
    <row r="65" spans="9:12" ht="12.75" hidden="1">
      <c r="I65" s="624">
        <f>SUMIF($D$8:$D$53,I66,$G$8:$G$53)</f>
        <v>0</v>
      </c>
      <c r="J65" s="624">
        <f>SUMIF($D$8:$D$53,J66,$G$8:$G$53)</f>
        <v>0</v>
      </c>
      <c r="K65" s="624">
        <f>SUMIF($D$8:$D$53,K66,$G$8:$G$53)</f>
        <v>0</v>
      </c>
      <c r="L65" s="624">
        <f>SUMIF($D$8:$D$53,L66,$G$8:$G$53)</f>
        <v>0</v>
      </c>
    </row>
    <row r="66" spans="4:14" ht="12.75" hidden="1">
      <c r="D66" s="6"/>
      <c r="E66" s="8"/>
      <c r="F66" s="10" t="s">
        <v>121</v>
      </c>
      <c r="G66" s="618"/>
      <c r="H66" s="622"/>
      <c r="I66" s="2" t="str">
        <f>AboveScaleCalc!P43</f>
        <v>REG</v>
      </c>
      <c r="J66" s="2" t="str">
        <f>AboveScaleCalc!Q43</f>
        <v>HBT</v>
      </c>
      <c r="K66" s="2">
        <f>AboveScaleCalc!R43</f>
      </c>
      <c r="L66" t="str">
        <f>AboveScaleCalc!S43</f>
        <v>HBY</v>
      </c>
      <c r="M66" t="s">
        <v>2</v>
      </c>
      <c r="N66">
        <f>AboveScaleCalc!U43</f>
        <v>0</v>
      </c>
    </row>
    <row r="67" spans="4:14" ht="12.75" hidden="1">
      <c r="D67" s="10" t="s">
        <v>116</v>
      </c>
      <c r="E67" s="10" t="s">
        <v>110</v>
      </c>
      <c r="F67" s="6" t="s">
        <v>122</v>
      </c>
      <c r="G67" s="619" t="s">
        <v>123</v>
      </c>
      <c r="H67" s="623" t="s">
        <v>132</v>
      </c>
      <c r="I67" s="625">
        <f>IF($I$64=2,dos1_diff_above,"")</f>
      </c>
      <c r="J67" s="625">
        <f>IF($I$64=2,dos2_diff_above,"")</f>
      </c>
      <c r="K67" s="625">
        <f>IF($I$64=2,dos3_diff_above,"")</f>
      </c>
      <c r="L67" s="625">
        <f>IF($I$64=2,dos4_diff_above,"")</f>
      </c>
      <c r="M67" s="630">
        <f>SUM(I67:L67)</f>
        <v>0</v>
      </c>
      <c r="N67" s="54"/>
    </row>
    <row r="68" spans="3:8" ht="12.75" hidden="1">
      <c r="C68">
        <f>IF(ISBLANK(F68),"",IF(D68="",C67,D68))</f>
      </c>
      <c r="D68" s="594"/>
      <c r="E68" s="599"/>
      <c r="F68" s="595"/>
      <c r="G68" s="628"/>
      <c r="H68" s="629"/>
    </row>
    <row r="69" spans="3:8" ht="12.75" hidden="1">
      <c r="C69">
        <f aca="true" t="shared" si="26" ref="C69:C103">IF(ISBLANK(F69),"",IF(D69="",C68,D69))</f>
      </c>
      <c r="G69"/>
      <c r="H69"/>
    </row>
    <row r="70" spans="3:8" ht="12.75" hidden="1">
      <c r="C70">
        <f t="shared" si="26"/>
      </c>
      <c r="G70"/>
      <c r="H70"/>
    </row>
    <row r="71" spans="3:8" ht="12.75" hidden="1">
      <c r="C71">
        <f t="shared" si="26"/>
      </c>
      <c r="G71"/>
      <c r="H71"/>
    </row>
    <row r="72" spans="3:8" ht="12.75" hidden="1">
      <c r="C72">
        <f t="shared" si="26"/>
      </c>
      <c r="G72"/>
      <c r="H72"/>
    </row>
    <row r="73" spans="3:8" ht="12.75" hidden="1">
      <c r="C73">
        <f t="shared" si="26"/>
      </c>
      <c r="G73"/>
      <c r="H73"/>
    </row>
    <row r="74" spans="3:8" ht="12.75" hidden="1">
      <c r="C74">
        <f t="shared" si="26"/>
      </c>
      <c r="G74"/>
      <c r="H74"/>
    </row>
    <row r="75" spans="3:8" ht="12.75" hidden="1">
      <c r="C75">
        <f t="shared" si="26"/>
      </c>
      <c r="G75"/>
      <c r="H75"/>
    </row>
    <row r="76" spans="3:8" ht="12.75" hidden="1">
      <c r="C76">
        <f t="shared" si="26"/>
      </c>
      <c r="G76"/>
      <c r="H76"/>
    </row>
    <row r="77" spans="3:8" ht="12.75" hidden="1">
      <c r="C77">
        <f t="shared" si="26"/>
      </c>
      <c r="G77"/>
      <c r="H77"/>
    </row>
    <row r="78" spans="3:8" ht="12.75" hidden="1">
      <c r="C78">
        <f t="shared" si="26"/>
      </c>
      <c r="G78"/>
      <c r="H78"/>
    </row>
    <row r="79" spans="3:8" ht="12.75" hidden="1">
      <c r="C79">
        <f t="shared" si="26"/>
      </c>
      <c r="G79"/>
      <c r="H79"/>
    </row>
    <row r="80" spans="3:8" ht="12.75" hidden="1">
      <c r="C80">
        <f t="shared" si="26"/>
      </c>
      <c r="G80"/>
      <c r="H80"/>
    </row>
    <row r="81" spans="3:8" ht="12.75" hidden="1">
      <c r="C81">
        <f t="shared" si="26"/>
      </c>
      <c r="G81"/>
      <c r="H81"/>
    </row>
    <row r="82" spans="3:8" ht="12.75" hidden="1">
      <c r="C82">
        <f t="shared" si="26"/>
      </c>
      <c r="G82"/>
      <c r="H82"/>
    </row>
    <row r="83" spans="3:8" ht="12.75" hidden="1">
      <c r="C83">
        <f t="shared" si="26"/>
      </c>
      <c r="G83"/>
      <c r="H83"/>
    </row>
    <row r="84" spans="3:8" ht="12.75" hidden="1">
      <c r="C84">
        <f t="shared" si="26"/>
      </c>
      <c r="G84"/>
      <c r="H84"/>
    </row>
    <row r="85" spans="3:8" ht="12.75" hidden="1">
      <c r="C85">
        <f t="shared" si="26"/>
      </c>
      <c r="G85"/>
      <c r="H85"/>
    </row>
    <row r="86" spans="3:8" ht="12.75" hidden="1">
      <c r="C86">
        <f t="shared" si="26"/>
      </c>
      <c r="G86"/>
      <c r="H86"/>
    </row>
    <row r="87" spans="3:8" ht="12.75" hidden="1">
      <c r="C87">
        <f t="shared" si="26"/>
      </c>
      <c r="G87"/>
      <c r="H87"/>
    </row>
    <row r="88" spans="3:8" ht="12.75" hidden="1">
      <c r="C88">
        <f t="shared" si="26"/>
      </c>
      <c r="G88"/>
      <c r="H88"/>
    </row>
    <row r="89" spans="1:8" ht="12.75" hidden="1">
      <c r="A89" s="1"/>
      <c r="B89" s="1"/>
      <c r="C89" s="1">
        <f t="shared" si="26"/>
      </c>
      <c r="G89"/>
      <c r="H89"/>
    </row>
    <row r="90" spans="1:8" ht="12.75" hidden="1">
      <c r="A90" s="1"/>
      <c r="B90" s="1"/>
      <c r="C90" s="1">
        <f t="shared" si="26"/>
      </c>
      <c r="G90"/>
      <c r="H90"/>
    </row>
    <row r="91" spans="1:8" ht="12.75" hidden="1">
      <c r="A91" s="1"/>
      <c r="B91" s="1"/>
      <c r="C91" s="1">
        <f t="shared" si="26"/>
      </c>
      <c r="G91"/>
      <c r="H91"/>
    </row>
    <row r="92" spans="1:8" ht="12.75" hidden="1">
      <c r="A92" s="1"/>
      <c r="B92" s="1"/>
      <c r="C92" s="1">
        <f t="shared" si="26"/>
      </c>
      <c r="G92"/>
      <c r="H92"/>
    </row>
    <row r="93" spans="1:8" ht="12.75" hidden="1">
      <c r="A93" s="1"/>
      <c r="B93" s="1"/>
      <c r="C93" s="1">
        <f t="shared" si="26"/>
      </c>
      <c r="G93"/>
      <c r="H93"/>
    </row>
    <row r="94" spans="1:8" ht="12.75" hidden="1">
      <c r="A94" s="1"/>
      <c r="B94" s="1"/>
      <c r="C94" s="1">
        <f t="shared" si="26"/>
      </c>
      <c r="G94"/>
      <c r="H94"/>
    </row>
    <row r="95" spans="1:8" ht="12.75" hidden="1">
      <c r="A95" s="1"/>
      <c r="B95" s="1"/>
      <c r="C95" s="1">
        <f t="shared" si="26"/>
      </c>
      <c r="D95" s="1"/>
      <c r="E95" s="1"/>
      <c r="F95" s="647"/>
      <c r="G95" s="631"/>
      <c r="H95" s="648"/>
    </row>
    <row r="96" spans="1:8" ht="12.75" hidden="1">
      <c r="A96" s="1"/>
      <c r="B96" s="1"/>
      <c r="C96" s="1">
        <f t="shared" si="26"/>
      </c>
      <c r="D96" s="1"/>
      <c r="E96" s="1"/>
      <c r="F96" s="647"/>
      <c r="G96" s="631"/>
      <c r="H96" s="648"/>
    </row>
    <row r="97" spans="1:8" ht="12.75" hidden="1">
      <c r="A97" s="1"/>
      <c r="B97" s="1"/>
      <c r="C97" s="1">
        <f t="shared" si="26"/>
      </c>
      <c r="D97" s="1"/>
      <c r="E97" s="1"/>
      <c r="F97" s="647"/>
      <c r="G97" s="631"/>
      <c r="H97" s="648"/>
    </row>
    <row r="98" spans="1:8" ht="12.75" hidden="1">
      <c r="A98" s="1"/>
      <c r="B98" s="1"/>
      <c r="C98" s="1">
        <f t="shared" si="26"/>
      </c>
      <c r="D98" s="1"/>
      <c r="E98" s="1"/>
      <c r="F98" s="647"/>
      <c r="G98" s="631"/>
      <c r="H98" s="648"/>
    </row>
    <row r="99" spans="1:8" ht="12.75" hidden="1">
      <c r="A99" s="1"/>
      <c r="B99" s="1"/>
      <c r="C99" s="1">
        <f t="shared" si="26"/>
      </c>
      <c r="D99" s="1"/>
      <c r="E99" s="1"/>
      <c r="F99" s="647"/>
      <c r="G99" s="631"/>
      <c r="H99" s="648"/>
    </row>
    <row r="100" spans="1:8" ht="12.75" hidden="1">
      <c r="A100" s="1"/>
      <c r="B100" s="1"/>
      <c r="C100" s="1">
        <f t="shared" si="26"/>
      </c>
      <c r="D100" s="1"/>
      <c r="E100" s="1"/>
      <c r="F100" s="647"/>
      <c r="G100" s="631"/>
      <c r="H100" s="648"/>
    </row>
    <row r="101" spans="1:8" ht="12.75" hidden="1">
      <c r="A101" s="1"/>
      <c r="B101" s="1"/>
      <c r="C101" s="1">
        <f t="shared" si="26"/>
      </c>
      <c r="D101" s="1"/>
      <c r="E101" s="1"/>
      <c r="F101" s="647"/>
      <c r="G101" s="631"/>
      <c r="H101" s="648"/>
    </row>
    <row r="102" spans="1:8" ht="12.75" hidden="1">
      <c r="A102" s="1"/>
      <c r="B102" s="1"/>
      <c r="C102" s="1">
        <f t="shared" si="26"/>
      </c>
      <c r="D102" s="1"/>
      <c r="E102" s="1"/>
      <c r="F102" s="647"/>
      <c r="G102" s="631"/>
      <c r="H102" s="648"/>
    </row>
    <row r="103" spans="1:8" ht="12.75" hidden="1">
      <c r="A103" s="1"/>
      <c r="B103" s="1"/>
      <c r="C103" s="1">
        <f t="shared" si="26"/>
      </c>
      <c r="D103" s="1"/>
      <c r="E103" s="1"/>
      <c r="F103" s="647"/>
      <c r="G103" s="631"/>
      <c r="H103" s="648"/>
    </row>
    <row r="104" spans="4:10" s="5" customFormat="1" ht="12.75" hidden="1">
      <c r="D104" s="632"/>
      <c r="E104" s="633"/>
      <c r="F104" s="634"/>
      <c r="G104" s="635"/>
      <c r="H104" s="636"/>
      <c r="I104" s="621"/>
      <c r="J104" s="621"/>
    </row>
    <row r="105" spans="3:8" ht="12.75" hidden="1">
      <c r="C105">
        <f>IF(D105="",D87,D105)</f>
        <v>0</v>
      </c>
      <c r="D105" s="6"/>
      <c r="E105" s="8"/>
      <c r="F105" s="10" t="s">
        <v>121</v>
      </c>
      <c r="G105" s="618"/>
      <c r="H105" s="622"/>
    </row>
    <row r="106" spans="3:8" ht="12.75" hidden="1">
      <c r="C106" t="str">
        <f>IF(D106="",D105,D106)</f>
        <v>dos</v>
      </c>
      <c r="D106" s="10" t="s">
        <v>116</v>
      </c>
      <c r="E106" s="10" t="s">
        <v>110</v>
      </c>
      <c r="F106" s="6" t="s">
        <v>122</v>
      </c>
      <c r="G106" s="619" t="s">
        <v>123</v>
      </c>
      <c r="H106" s="623" t="s">
        <v>132</v>
      </c>
    </row>
    <row r="107" spans="3:8" ht="12.75" hidden="1">
      <c r="C107">
        <f aca="true" t="shared" si="27" ref="C107:C115">IF(ISBLANK(F107),"",IF(D107="",C106,D107))</f>
      </c>
      <c r="D107" s="594"/>
      <c r="E107" s="599"/>
      <c r="F107" s="595"/>
      <c r="G107" s="628"/>
      <c r="H107" s="629"/>
    </row>
    <row r="108" spans="3:8" ht="12.75" hidden="1">
      <c r="C108">
        <f t="shared" si="27"/>
      </c>
      <c r="G108"/>
      <c r="H108"/>
    </row>
    <row r="109" spans="3:8" ht="12.75" hidden="1">
      <c r="C109">
        <f t="shared" si="27"/>
      </c>
      <c r="G109"/>
      <c r="H109"/>
    </row>
    <row r="110" spans="3:8" ht="12.75" hidden="1">
      <c r="C110">
        <f t="shared" si="27"/>
      </c>
      <c r="G110"/>
      <c r="H110"/>
    </row>
    <row r="111" spans="3:8" ht="12.75" hidden="1">
      <c r="C111">
        <f t="shared" si="27"/>
      </c>
      <c r="G111"/>
      <c r="H111"/>
    </row>
    <row r="112" spans="3:8" ht="12.75" hidden="1">
      <c r="C112">
        <f t="shared" si="27"/>
      </c>
      <c r="G112"/>
      <c r="H112"/>
    </row>
    <row r="113" spans="3:8" ht="12.75" hidden="1">
      <c r="C113">
        <f t="shared" si="27"/>
      </c>
      <c r="G113"/>
      <c r="H113"/>
    </row>
    <row r="114" spans="3:8" ht="12.75" hidden="1">
      <c r="C114">
        <f t="shared" si="27"/>
      </c>
      <c r="G114"/>
      <c r="H114"/>
    </row>
    <row r="115" spans="3:8" ht="12.75" hidden="1">
      <c r="C115">
        <f t="shared" si="27"/>
      </c>
      <c r="G115"/>
      <c r="H115"/>
    </row>
  </sheetData>
  <sheetProtection/>
  <mergeCells count="1">
    <mergeCell ref="D55:K55"/>
  </mergeCells>
  <printOptions/>
  <pageMargins left="0.75" right="0.75" top="1" bottom="1" header="0.5" footer="0.5"/>
  <pageSetup fitToHeight="1" fitToWidth="1" horizontalDpi="600" verticalDpi="600" orientation="landscape" scale="58" r:id="rId1"/>
</worksheet>
</file>

<file path=xl/worksheets/sheet6.xml><?xml version="1.0" encoding="utf-8"?>
<worksheet xmlns="http://schemas.openxmlformats.org/spreadsheetml/2006/main" xmlns:r="http://schemas.openxmlformats.org/officeDocument/2006/relationships">
  <sheetPr codeName="Sheet4">
    <tabColor rgb="FF00B050"/>
    <pageSetUpPr fitToPage="1"/>
  </sheetPr>
  <dimension ref="A1:AH727"/>
  <sheetViews>
    <sheetView showGridLines="0" showZeros="0" zoomScale="75" zoomScaleNormal="75" zoomScalePageLayoutView="0" workbookViewId="0" topLeftCell="A10">
      <selection activeCell="E11" sqref="E11"/>
    </sheetView>
  </sheetViews>
  <sheetFormatPr defaultColWidth="0" defaultRowHeight="12.75" zeroHeight="1"/>
  <cols>
    <col min="1" max="1" width="5.7109375" style="25" customWidth="1"/>
    <col min="2" max="2" width="10.28125" style="16" customWidth="1"/>
    <col min="3" max="3" width="9.57421875" style="16" customWidth="1"/>
    <col min="4" max="4" width="17.28125" style="16" customWidth="1"/>
    <col min="5" max="5" width="14.7109375" style="16" customWidth="1"/>
    <col min="6" max="6" width="10.8515625" style="16" customWidth="1"/>
    <col min="7" max="7" width="11.57421875" style="16" customWidth="1"/>
    <col min="8" max="8" width="12.28125" style="16" bestFit="1" customWidth="1"/>
    <col min="9" max="9" width="8.28125" style="16" bestFit="1" customWidth="1"/>
    <col min="10" max="10" width="13.421875" style="16" customWidth="1"/>
    <col min="11" max="11" width="13.7109375" style="16" customWidth="1"/>
    <col min="12" max="12" width="14.421875" style="16" customWidth="1"/>
    <col min="13" max="13" width="13.7109375" style="16" customWidth="1"/>
    <col min="14" max="14" width="12.57421875" style="16" customWidth="1"/>
    <col min="15" max="15" width="0.85546875" style="16" customWidth="1"/>
    <col min="16" max="16" width="14.00390625" style="16" customWidth="1"/>
    <col min="17" max="20" width="12.8515625" style="16" customWidth="1"/>
    <col min="21" max="21" width="12.140625" style="16" customWidth="1"/>
    <col min="22" max="22" width="8.00390625" style="16" customWidth="1"/>
    <col min="23" max="23" width="0" style="16" hidden="1" customWidth="1"/>
    <col min="24" max="24" width="8.28125" style="16" hidden="1" customWidth="1"/>
    <col min="25" max="25" width="10.57421875" style="16" hidden="1" customWidth="1"/>
    <col min="26" max="27" width="10.28125" style="16" hidden="1" customWidth="1"/>
    <col min="28" max="28" width="9.00390625" style="16" hidden="1" customWidth="1"/>
    <col min="29" max="29" width="10.57421875" style="16" hidden="1" customWidth="1"/>
    <col min="30" max="16384" width="0" style="16" hidden="1" customWidth="1"/>
  </cols>
  <sheetData>
    <row r="1" spans="1:24" ht="51" customHeight="1" thickTop="1">
      <c r="A1" s="376"/>
      <c r="B1" s="377"/>
      <c r="C1" s="377"/>
      <c r="D1" s="377"/>
      <c r="E1" s="377"/>
      <c r="F1" s="377"/>
      <c r="G1" s="377"/>
      <c r="H1" s="377"/>
      <c r="I1" s="377"/>
      <c r="J1" s="377"/>
      <c r="K1" s="377"/>
      <c r="L1" s="377"/>
      <c r="M1" s="377"/>
      <c r="N1" s="377"/>
      <c r="O1" s="378"/>
      <c r="P1" s="379"/>
      <c r="Q1" s="378"/>
      <c r="R1" s="378"/>
      <c r="S1" s="378"/>
      <c r="T1" s="600"/>
      <c r="U1" s="601"/>
      <c r="V1" s="179"/>
      <c r="W1" s="175"/>
      <c r="X1" s="175"/>
    </row>
    <row r="2" spans="1:24" ht="26.25" customHeight="1" thickBot="1">
      <c r="A2" s="505" t="s">
        <v>49</v>
      </c>
      <c r="B2" s="506" t="s">
        <v>162</v>
      </c>
      <c r="C2" s="174" t="s">
        <v>184</v>
      </c>
      <c r="D2" s="174"/>
      <c r="E2" s="174"/>
      <c r="F2" s="174"/>
      <c r="G2" s="174"/>
      <c r="H2" s="174"/>
      <c r="I2" s="174"/>
      <c r="J2" s="174"/>
      <c r="K2" s="174"/>
      <c r="L2" s="174"/>
      <c r="M2" s="174"/>
      <c r="N2" s="174"/>
      <c r="O2" s="174"/>
      <c r="P2" s="174"/>
      <c r="Q2" s="174"/>
      <c r="R2" s="174"/>
      <c r="S2" s="174"/>
      <c r="T2" s="592"/>
      <c r="U2" s="593"/>
      <c r="V2" s="190"/>
      <c r="W2" s="175"/>
      <c r="X2" s="175"/>
    </row>
    <row r="3" spans="1:24" ht="4.5" customHeight="1" thickTop="1">
      <c r="A3" s="177"/>
      <c r="B3" s="178"/>
      <c r="C3" s="178"/>
      <c r="D3" s="178"/>
      <c r="E3" s="178"/>
      <c r="F3" s="178"/>
      <c r="G3" s="178"/>
      <c r="H3" s="178"/>
      <c r="I3" s="178"/>
      <c r="J3" s="178"/>
      <c r="K3" s="178"/>
      <c r="L3" s="178"/>
      <c r="M3" s="178"/>
      <c r="N3" s="178"/>
      <c r="O3" s="178"/>
      <c r="P3" s="179"/>
      <c r="Q3" s="602"/>
      <c r="R3" s="178"/>
      <c r="S3" s="178"/>
      <c r="T3" s="178"/>
      <c r="U3" s="178"/>
      <c r="V3" s="179"/>
      <c r="W3" s="175"/>
      <c r="X3" s="175"/>
    </row>
    <row r="4" spans="1:24" ht="15">
      <c r="A4" s="180"/>
      <c r="B4" s="181" t="s">
        <v>125</v>
      </c>
      <c r="C4" s="384"/>
      <c r="D4" s="384"/>
      <c r="E4" s="174"/>
      <c r="F4" s="174"/>
      <c r="G4" s="174"/>
      <c r="H4" s="174"/>
      <c r="I4" s="174"/>
      <c r="J4" s="174"/>
      <c r="K4" s="507" t="s">
        <v>49</v>
      </c>
      <c r="L4" s="174"/>
      <c r="M4" s="183"/>
      <c r="N4" s="385" t="s">
        <v>61</v>
      </c>
      <c r="O4" s="386"/>
      <c r="P4" s="387" t="s">
        <v>60</v>
      </c>
      <c r="Q4" s="174"/>
      <c r="R4" s="174"/>
      <c r="S4" s="174"/>
      <c r="T4" s="174"/>
      <c r="U4" s="174"/>
      <c r="V4" s="190"/>
      <c r="W4" s="175"/>
      <c r="X4" s="175"/>
    </row>
    <row r="5" spans="1:31" ht="12.75" hidden="1">
      <c r="A5" s="180"/>
      <c r="G5" s="183" t="s">
        <v>49</v>
      </c>
      <c r="H5" s="174"/>
      <c r="I5" s="184"/>
      <c r="J5" s="185"/>
      <c r="K5" s="185"/>
      <c r="L5" s="186" t="s">
        <v>86</v>
      </c>
      <c r="M5" s="508">
        <v>1</v>
      </c>
      <c r="N5" s="399">
        <v>125000</v>
      </c>
      <c r="O5" s="206"/>
      <c r="P5" s="509">
        <f aca="true" t="shared" si="0" ref="P5:P10">N5/12</f>
        <v>10416.666666666666</v>
      </c>
      <c r="Q5" s="174"/>
      <c r="R5" s="174"/>
      <c r="S5" s="174"/>
      <c r="T5" s="174"/>
      <c r="U5" s="174"/>
      <c r="V5" s="190"/>
      <c r="W5" s="175"/>
      <c r="X5" s="175"/>
      <c r="AD5" s="16" t="s">
        <v>136</v>
      </c>
      <c r="AE5" s="104"/>
    </row>
    <row r="6" spans="1:31" ht="12.75" hidden="1">
      <c r="A6" s="180"/>
      <c r="G6" s="193"/>
      <c r="H6" s="193"/>
      <c r="I6" s="194"/>
      <c r="J6" s="185"/>
      <c r="K6" s="185"/>
      <c r="L6" s="186" t="s">
        <v>87</v>
      </c>
      <c r="M6" s="508">
        <v>2</v>
      </c>
      <c r="N6" s="399">
        <v>125900</v>
      </c>
      <c r="O6" s="510"/>
      <c r="P6" s="509">
        <f t="shared" si="0"/>
        <v>10491.666666666666</v>
      </c>
      <c r="Q6" s="196"/>
      <c r="R6" s="196"/>
      <c r="S6" s="196"/>
      <c r="T6" s="196"/>
      <c r="U6" s="174"/>
      <c r="V6" s="190"/>
      <c r="W6" s="175"/>
      <c r="X6" s="175"/>
      <c r="AD6" s="16" t="s">
        <v>137</v>
      </c>
      <c r="AE6" s="104"/>
    </row>
    <row r="7" spans="1:31" ht="12.75" hidden="1">
      <c r="A7" s="180"/>
      <c r="G7" s="174"/>
      <c r="H7" s="193"/>
      <c r="I7" s="194"/>
      <c r="J7" s="185"/>
      <c r="K7" s="185"/>
      <c r="L7" s="186" t="s">
        <v>88</v>
      </c>
      <c r="M7" s="508">
        <v>3</v>
      </c>
      <c r="N7" s="399">
        <v>130200</v>
      </c>
      <c r="O7" s="206"/>
      <c r="P7" s="509">
        <f t="shared" si="0"/>
        <v>10850</v>
      </c>
      <c r="Q7" s="174"/>
      <c r="R7" s="174"/>
      <c r="S7" s="174"/>
      <c r="T7" s="174"/>
      <c r="U7" s="174"/>
      <c r="V7" s="190"/>
      <c r="W7" s="175"/>
      <c r="X7" s="175"/>
      <c r="AD7" s="16" t="s">
        <v>158</v>
      </c>
      <c r="AE7" s="104"/>
    </row>
    <row r="8" spans="1:24" ht="12.75" hidden="1">
      <c r="A8" s="180"/>
      <c r="G8" s="174"/>
      <c r="H8" s="193"/>
      <c r="I8" s="194"/>
      <c r="J8" s="185"/>
      <c r="K8" s="185"/>
      <c r="L8" s="186" t="s">
        <v>89</v>
      </c>
      <c r="M8" s="508">
        <v>4</v>
      </c>
      <c r="N8" s="399">
        <v>136700</v>
      </c>
      <c r="O8" s="206"/>
      <c r="P8" s="509">
        <f t="shared" si="0"/>
        <v>11391.666666666666</v>
      </c>
      <c r="Q8" s="174"/>
      <c r="R8" s="174"/>
      <c r="S8" s="174"/>
      <c r="T8" s="174"/>
      <c r="U8" s="174"/>
      <c r="V8" s="190"/>
      <c r="W8" s="175"/>
      <c r="X8" s="175"/>
    </row>
    <row r="9" spans="1:24" ht="12.75" hidden="1">
      <c r="A9" s="180"/>
      <c r="G9" s="174"/>
      <c r="H9" s="193"/>
      <c r="I9" s="194"/>
      <c r="J9" s="185"/>
      <c r="K9" s="185"/>
      <c r="L9" s="186" t="s">
        <v>90</v>
      </c>
      <c r="M9" s="508">
        <v>5</v>
      </c>
      <c r="N9" s="399">
        <v>141300</v>
      </c>
      <c r="O9" s="206"/>
      <c r="P9" s="509">
        <f t="shared" si="0"/>
        <v>11775</v>
      </c>
      <c r="Q9" s="174"/>
      <c r="R9" s="174"/>
      <c r="S9" s="174"/>
      <c r="T9" s="174"/>
      <c r="U9" s="174"/>
      <c r="V9" s="190"/>
      <c r="W9" s="175"/>
      <c r="X9" s="175"/>
    </row>
    <row r="10" spans="1:24" ht="15.75" customHeight="1">
      <c r="A10" s="180"/>
      <c r="B10" s="181"/>
      <c r="D10" s="674" t="s">
        <v>58</v>
      </c>
      <c r="E10" s="167"/>
      <c r="F10" s="389"/>
      <c r="G10" s="174"/>
      <c r="H10" s="193"/>
      <c r="I10" s="193"/>
      <c r="J10" s="968" t="s">
        <v>204</v>
      </c>
      <c r="K10" s="723"/>
      <c r="L10" s="723"/>
      <c r="M10" s="725">
        <v>1</v>
      </c>
      <c r="N10" s="971">
        <v>191300</v>
      </c>
      <c r="O10" s="719"/>
      <c r="P10" s="726">
        <f t="shared" si="0"/>
        <v>15941.666666666666</v>
      </c>
      <c r="Q10" s="174"/>
      <c r="R10" s="174"/>
      <c r="S10" s="174"/>
      <c r="T10" s="174"/>
      <c r="U10" s="174"/>
      <c r="V10" s="190"/>
      <c r="W10" s="175"/>
      <c r="X10" s="175"/>
    </row>
    <row r="11" spans="1:24" ht="15.75" customHeight="1">
      <c r="A11" s="180"/>
      <c r="B11" s="191"/>
      <c r="D11" s="674" t="s">
        <v>126</v>
      </c>
      <c r="E11" s="168"/>
      <c r="F11" s="394"/>
      <c r="G11" s="174"/>
      <c r="H11" s="193"/>
      <c r="I11" s="193"/>
      <c r="J11" s="968" t="s">
        <v>205</v>
      </c>
      <c r="K11" s="723"/>
      <c r="L11" s="723"/>
      <c r="M11" s="725">
        <v>2</v>
      </c>
      <c r="N11" s="971">
        <v>196700</v>
      </c>
      <c r="O11" s="719"/>
      <c r="P11" s="726">
        <f aca="true" t="shared" si="1" ref="P11:P17">N11/12</f>
        <v>16391.666666666668</v>
      </c>
      <c r="Q11" s="174"/>
      <c r="R11" s="174"/>
      <c r="S11" s="174"/>
      <c r="T11" s="174"/>
      <c r="U11" s="174"/>
      <c r="V11" s="190"/>
      <c r="W11" s="175"/>
      <c r="X11" s="175"/>
    </row>
    <row r="12" spans="1:24" ht="33" customHeight="1">
      <c r="A12" s="180"/>
      <c r="B12" s="191"/>
      <c r="D12" s="674" t="s">
        <v>26</v>
      </c>
      <c r="E12" s="169"/>
      <c r="F12" s="394"/>
      <c r="G12" s="174"/>
      <c r="H12" s="193"/>
      <c r="I12" s="193"/>
      <c r="J12" s="968" t="s">
        <v>206</v>
      </c>
      <c r="K12" s="723"/>
      <c r="L12" s="723"/>
      <c r="M12" s="725">
        <v>3</v>
      </c>
      <c r="N12" s="972">
        <v>199700</v>
      </c>
      <c r="O12" s="719"/>
      <c r="P12" s="726">
        <f t="shared" si="1"/>
        <v>16641.666666666668</v>
      </c>
      <c r="Q12" s="174"/>
      <c r="R12" s="174"/>
      <c r="S12" s="174"/>
      <c r="T12" s="174"/>
      <c r="U12" s="174"/>
      <c r="V12" s="190"/>
      <c r="W12" s="175"/>
      <c r="X12" s="175"/>
    </row>
    <row r="13" spans="1:24" ht="42.75" customHeight="1">
      <c r="A13" s="180"/>
      <c r="B13" s="191"/>
      <c r="D13" s="674" t="s">
        <v>27</v>
      </c>
      <c r="E13" s="169"/>
      <c r="F13" s="394"/>
      <c r="G13" s="174"/>
      <c r="H13" s="193"/>
      <c r="I13" s="193"/>
      <c r="J13" s="968" t="s">
        <v>207</v>
      </c>
      <c r="K13" s="723"/>
      <c r="L13" s="723"/>
      <c r="M13" s="725">
        <v>4</v>
      </c>
      <c r="N13" s="972">
        <v>179700</v>
      </c>
      <c r="O13" s="719"/>
      <c r="P13" s="726">
        <f t="shared" si="1"/>
        <v>14975</v>
      </c>
      <c r="Q13" s="174"/>
      <c r="R13" s="174"/>
      <c r="S13" s="174"/>
      <c r="T13" s="174"/>
      <c r="U13" s="174"/>
      <c r="V13" s="190"/>
      <c r="W13" s="175"/>
      <c r="X13" s="175"/>
    </row>
    <row r="14" spans="1:24" ht="42.75" customHeight="1">
      <c r="A14" s="180"/>
      <c r="B14" s="191"/>
      <c r="D14" s="674"/>
      <c r="E14" s="707"/>
      <c r="F14" s="706"/>
      <c r="G14" s="174"/>
      <c r="H14" s="193"/>
      <c r="I14" s="193"/>
      <c r="J14" s="968" t="s">
        <v>200</v>
      </c>
      <c r="K14" s="723"/>
      <c r="L14" s="723"/>
      <c r="M14" s="725">
        <v>5</v>
      </c>
      <c r="N14" s="972">
        <v>181500</v>
      </c>
      <c r="O14" s="719"/>
      <c r="P14" s="726">
        <f t="shared" si="1"/>
        <v>15125</v>
      </c>
      <c r="Q14" s="174"/>
      <c r="R14" s="174"/>
      <c r="S14" s="174"/>
      <c r="T14" s="174"/>
      <c r="U14" s="174"/>
      <c r="V14" s="190"/>
      <c r="W14" s="175"/>
      <c r="X14" s="175"/>
    </row>
    <row r="15" spans="1:24" ht="42.75" customHeight="1">
      <c r="A15" s="180"/>
      <c r="B15" s="191"/>
      <c r="D15" s="674"/>
      <c r="E15" s="707"/>
      <c r="F15" s="706"/>
      <c r="G15" s="174"/>
      <c r="H15" s="193"/>
      <c r="I15" s="193"/>
      <c r="J15" s="968" t="s">
        <v>201</v>
      </c>
      <c r="K15" s="723"/>
      <c r="L15" s="723"/>
      <c r="M15" s="725">
        <v>6</v>
      </c>
      <c r="N15" s="971">
        <v>230000</v>
      </c>
      <c r="O15" s="719"/>
      <c r="P15" s="726">
        <f t="shared" si="1"/>
        <v>19166.666666666668</v>
      </c>
      <c r="Q15" s="174"/>
      <c r="R15" s="174"/>
      <c r="S15" s="174"/>
      <c r="T15" s="174"/>
      <c r="U15" s="174"/>
      <c r="V15" s="190"/>
      <c r="W15" s="175"/>
      <c r="X15" s="175"/>
    </row>
    <row r="16" spans="1:24" ht="15.75" customHeight="1">
      <c r="A16" s="180"/>
      <c r="B16" s="191"/>
      <c r="D16" s="674"/>
      <c r="E16" s="707"/>
      <c r="F16" s="706"/>
      <c r="G16" s="174"/>
      <c r="H16" s="193"/>
      <c r="I16" s="193"/>
      <c r="J16" s="969" t="s">
        <v>208</v>
      </c>
      <c r="K16" s="950"/>
      <c r="L16" s="950"/>
      <c r="M16" s="725">
        <v>7</v>
      </c>
      <c r="N16" s="971">
        <v>183300</v>
      </c>
      <c r="O16" s="719">
        <v>1500833</v>
      </c>
      <c r="P16" s="726">
        <f t="shared" si="1"/>
        <v>15275</v>
      </c>
      <c r="Q16" s="174"/>
      <c r="R16" s="174"/>
      <c r="S16" s="174"/>
      <c r="T16" s="174"/>
      <c r="U16" s="174"/>
      <c r="V16" s="190"/>
      <c r="W16" s="175"/>
      <c r="X16" s="175"/>
    </row>
    <row r="17" spans="1:24" ht="15.75" customHeight="1">
      <c r="A17" s="180"/>
      <c r="B17" s="191"/>
      <c r="D17" s="674"/>
      <c r="E17" s="707"/>
      <c r="F17" s="706"/>
      <c r="G17" s="174"/>
      <c r="H17" s="193"/>
      <c r="I17" s="193"/>
      <c r="J17" s="970" t="s">
        <v>209</v>
      </c>
      <c r="K17" s="723"/>
      <c r="L17" s="723"/>
      <c r="M17" s="725">
        <v>8</v>
      </c>
      <c r="N17" s="971">
        <v>185100</v>
      </c>
      <c r="O17" s="719"/>
      <c r="P17" s="726">
        <f t="shared" si="1"/>
        <v>15425</v>
      </c>
      <c r="Q17" s="174"/>
      <c r="R17" s="174"/>
      <c r="S17" s="174"/>
      <c r="T17" s="174"/>
      <c r="U17" s="174"/>
      <c r="V17" s="190"/>
      <c r="W17" s="175"/>
      <c r="X17" s="175"/>
    </row>
    <row r="18" spans="1:24" ht="15.75">
      <c r="A18" s="180"/>
      <c r="B18" s="191"/>
      <c r="D18" s="674"/>
      <c r="E18" s="707"/>
      <c r="F18" s="706"/>
      <c r="G18" s="174"/>
      <c r="H18" s="193"/>
      <c r="I18" s="22"/>
      <c r="J18" s="193"/>
      <c r="K18" s="193"/>
      <c r="L18" s="193"/>
      <c r="M18" s="193"/>
      <c r="N18" s="193"/>
      <c r="O18" s="193"/>
      <c r="P18" s="193">
        <v>0</v>
      </c>
      <c r="Q18" s="174"/>
      <c r="R18" s="174"/>
      <c r="S18" s="174"/>
      <c r="T18" s="174"/>
      <c r="U18" s="174"/>
      <c r="V18" s="190"/>
      <c r="W18" s="175"/>
      <c r="X18" s="175"/>
    </row>
    <row r="19" spans="1:24" ht="15.75">
      <c r="A19" s="180"/>
      <c r="B19" s="191"/>
      <c r="D19" s="674"/>
      <c r="E19" s="707"/>
      <c r="F19" s="706"/>
      <c r="G19" s="174"/>
      <c r="H19" s="193"/>
      <c r="Q19" s="174"/>
      <c r="R19" s="174"/>
      <c r="S19" s="174"/>
      <c r="T19" s="174"/>
      <c r="U19" s="174"/>
      <c r="V19" s="190"/>
      <c r="W19" s="175"/>
      <c r="X19" s="175"/>
    </row>
    <row r="20" spans="1:24" ht="15.75" customHeight="1">
      <c r="A20" s="180"/>
      <c r="B20" s="191"/>
      <c r="D20" s="674"/>
      <c r="E20" s="707"/>
      <c r="F20" s="706"/>
      <c r="G20" s="174"/>
      <c r="H20" s="193"/>
      <c r="Q20" s="174"/>
      <c r="R20" s="174"/>
      <c r="S20" s="174"/>
      <c r="T20" s="174"/>
      <c r="U20" s="174"/>
      <c r="V20" s="190"/>
      <c r="W20" s="175"/>
      <c r="X20" s="175"/>
    </row>
    <row r="21" spans="1:24" ht="15.75" customHeight="1">
      <c r="A21" s="180"/>
      <c r="B21" s="191"/>
      <c r="D21" s="674"/>
      <c r="E21" s="707"/>
      <c r="F21" s="706"/>
      <c r="G21" s="174"/>
      <c r="H21" s="193"/>
      <c r="Q21" s="174"/>
      <c r="R21" s="174"/>
      <c r="S21" s="174"/>
      <c r="T21" s="174"/>
      <c r="U21" s="174"/>
      <c r="V21" s="190"/>
      <c r="W21" s="175"/>
      <c r="X21" s="175"/>
    </row>
    <row r="22" spans="1:24" ht="15.75">
      <c r="A22" s="180"/>
      <c r="B22" s="191"/>
      <c r="D22" s="674"/>
      <c r="E22" s="707"/>
      <c r="F22" s="706"/>
      <c r="G22" s="174"/>
      <c r="H22" s="193"/>
      <c r="Q22" s="174"/>
      <c r="R22" s="174"/>
      <c r="S22" s="174"/>
      <c r="T22" s="174"/>
      <c r="U22" s="174"/>
      <c r="V22" s="190"/>
      <c r="W22" s="175"/>
      <c r="X22" s="175"/>
    </row>
    <row r="23" spans="1:24" ht="33.75" customHeight="1">
      <c r="A23" s="180"/>
      <c r="B23" s="191"/>
      <c r="C23" s="198"/>
      <c r="D23" s="198"/>
      <c r="E23" s="201"/>
      <c r="F23" s="202"/>
      <c r="G23" s="174"/>
      <c r="H23" s="193"/>
      <c r="Q23" s="174"/>
      <c r="R23" s="174"/>
      <c r="S23" s="174"/>
      <c r="T23" s="174"/>
      <c r="U23" s="174"/>
      <c r="V23" s="190"/>
      <c r="W23" s="175"/>
      <c r="X23" s="175"/>
    </row>
    <row r="24" spans="1:24" ht="12.75">
      <c r="A24" s="180"/>
      <c r="B24" s="512"/>
      <c r="C24" s="513"/>
      <c r="D24" s="513"/>
      <c r="E24" s="890"/>
      <c r="F24" s="890"/>
      <c r="G24" s="210"/>
      <c r="H24" s="210"/>
      <c r="I24" s="174"/>
      <c r="J24" s="174"/>
      <c r="K24" s="174"/>
      <c r="L24" s="211"/>
      <c r="M24" s="973" t="s">
        <v>210</v>
      </c>
      <c r="N24" s="212" t="str">
        <f>IF(E28&gt;=N13,"YES","NO")</f>
        <v>NO</v>
      </c>
      <c r="O24" s="212"/>
      <c r="P24" s="212"/>
      <c r="Q24" s="212"/>
      <c r="R24" s="212"/>
      <c r="S24" s="212"/>
      <c r="T24" s="212"/>
      <c r="U24" s="174"/>
      <c r="V24" s="190"/>
      <c r="W24" s="175"/>
      <c r="X24" s="175"/>
    </row>
    <row r="25" spans="1:24" ht="4.5" customHeight="1" thickBot="1">
      <c r="A25" s="214"/>
      <c r="B25" s="215"/>
      <c r="C25" s="215"/>
      <c r="D25" s="215"/>
      <c r="E25" s="215"/>
      <c r="F25" s="215"/>
      <c r="G25" s="215"/>
      <c r="H25" s="215"/>
      <c r="I25" s="215"/>
      <c r="J25" s="215"/>
      <c r="K25" s="215"/>
      <c r="L25" s="215"/>
      <c r="M25" s="215"/>
      <c r="N25" s="215"/>
      <c r="O25" s="215"/>
      <c r="P25" s="215"/>
      <c r="Q25" s="215"/>
      <c r="R25" s="215"/>
      <c r="S25" s="215"/>
      <c r="T25" s="215"/>
      <c r="U25" s="215"/>
      <c r="V25" s="216"/>
      <c r="W25" s="175"/>
      <c r="X25" s="175"/>
    </row>
    <row r="26" spans="1:24" ht="17.25" customHeight="1" thickTop="1">
      <c r="A26" s="217"/>
      <c r="B26" s="218" t="s">
        <v>165</v>
      </c>
      <c r="C26" s="178"/>
      <c r="D26" s="178"/>
      <c r="E26" s="178"/>
      <c r="F26" s="178"/>
      <c r="G26" s="178"/>
      <c r="H26" s="178"/>
      <c r="I26" s="178"/>
      <c r="J26" s="178"/>
      <c r="K26" s="178"/>
      <c r="L26" s="178"/>
      <c r="M26" s="178"/>
      <c r="N26" s="178"/>
      <c r="O26" s="174"/>
      <c r="P26" s="174"/>
      <c r="Q26" s="174"/>
      <c r="R26" s="174"/>
      <c r="S26" s="174"/>
      <c r="T26" s="174"/>
      <c r="U26" s="174"/>
      <c r="V26" s="190"/>
      <c r="W26" s="175"/>
      <c r="X26" s="175"/>
    </row>
    <row r="27" spans="1:24" ht="14.25" customHeight="1">
      <c r="A27" s="219"/>
      <c r="B27" s="174"/>
      <c r="C27" s="220" t="s">
        <v>44</v>
      </c>
      <c r="D27" s="220"/>
      <c r="E27" s="174"/>
      <c r="F27" s="174"/>
      <c r="G27" s="174"/>
      <c r="H27" s="174"/>
      <c r="I27" s="174"/>
      <c r="J27" s="174"/>
      <c r="K27" s="174"/>
      <c r="L27" s="174"/>
      <c r="M27" s="174"/>
      <c r="N27" s="174"/>
      <c r="O27" s="174"/>
      <c r="P27" s="174"/>
      <c r="Q27" s="174"/>
      <c r="R27" s="174"/>
      <c r="S27" s="174"/>
      <c r="T27" s="174"/>
      <c r="U27" s="174"/>
      <c r="V27" s="190"/>
      <c r="W27" s="175"/>
      <c r="X27" s="175"/>
    </row>
    <row r="28" spans="1:24" ht="14.25" customHeight="1">
      <c r="A28" s="219"/>
      <c r="B28" s="174"/>
      <c r="C28" s="220"/>
      <c r="D28" s="220"/>
      <c r="E28" s="70"/>
      <c r="F28" s="221" t="s">
        <v>49</v>
      </c>
      <c r="G28" s="198"/>
      <c r="H28" s="554"/>
      <c r="I28" s="174"/>
      <c r="J28" s="174"/>
      <c r="K28" s="174"/>
      <c r="L28" s="174"/>
      <c r="M28" s="174"/>
      <c r="N28" s="174"/>
      <c r="O28" s="174"/>
      <c r="P28" s="174"/>
      <c r="Q28" s="174"/>
      <c r="R28" s="174"/>
      <c r="S28" s="174"/>
      <c r="T28" s="174"/>
      <c r="U28" s="174"/>
      <c r="V28" s="190"/>
      <c r="W28" s="175"/>
      <c r="X28" s="175"/>
    </row>
    <row r="29" spans="1:24" ht="14.25" customHeight="1">
      <c r="A29" s="219"/>
      <c r="B29" s="222"/>
      <c r="C29" s="174"/>
      <c r="D29" s="174"/>
      <c r="E29" s="174"/>
      <c r="F29" s="174"/>
      <c r="G29" s="174"/>
      <c r="H29" s="174"/>
      <c r="I29" s="174"/>
      <c r="J29" s="174"/>
      <c r="K29" s="174"/>
      <c r="L29" s="174"/>
      <c r="M29" s="174"/>
      <c r="N29" s="174"/>
      <c r="O29" s="174"/>
      <c r="P29" s="174"/>
      <c r="Q29" s="174"/>
      <c r="R29" s="174"/>
      <c r="S29" s="174"/>
      <c r="T29" s="174"/>
      <c r="U29" s="174"/>
      <c r="V29" s="190"/>
      <c r="W29" s="175"/>
      <c r="X29" s="175"/>
    </row>
    <row r="30" spans="1:24" ht="13.5" customHeight="1">
      <c r="A30" s="223"/>
      <c r="B30" s="174"/>
      <c r="C30" s="174"/>
      <c r="D30" s="174"/>
      <c r="E30" s="174"/>
      <c r="F30" s="174"/>
      <c r="G30" s="174"/>
      <c r="H30" s="174"/>
      <c r="I30" s="174"/>
      <c r="J30" s="174"/>
      <c r="K30" s="174"/>
      <c r="L30" s="174"/>
      <c r="M30" s="174"/>
      <c r="N30" s="174"/>
      <c r="O30" s="174"/>
      <c r="P30" s="174"/>
      <c r="Q30" s="174"/>
      <c r="R30" s="174"/>
      <c r="S30" s="174"/>
      <c r="T30" s="174"/>
      <c r="U30" s="174"/>
      <c r="V30" s="190"/>
      <c r="W30" s="175"/>
      <c r="X30" s="175"/>
    </row>
    <row r="31" spans="1:24" ht="13.5" customHeight="1">
      <c r="A31" s="180"/>
      <c r="B31" s="174"/>
      <c r="C31" s="174"/>
      <c r="D31" s="174"/>
      <c r="E31" s="166"/>
      <c r="F31" s="224"/>
      <c r="G31" s="174"/>
      <c r="H31" s="656"/>
      <c r="I31" s="174"/>
      <c r="J31" s="174"/>
      <c r="K31" s="174"/>
      <c r="L31" s="174"/>
      <c r="M31" s="174"/>
      <c r="N31" s="174"/>
      <c r="O31" s="174"/>
      <c r="P31" s="183" t="s">
        <v>49</v>
      </c>
      <c r="Q31" s="174"/>
      <c r="R31" s="174"/>
      <c r="S31" s="174"/>
      <c r="T31" s="174"/>
      <c r="U31" s="174"/>
      <c r="V31" s="190"/>
      <c r="W31" s="175"/>
      <c r="X31" s="175"/>
    </row>
    <row r="32" spans="1:24" ht="15.75" thickBot="1">
      <c r="A32" s="214"/>
      <c r="B32" s="229"/>
      <c r="C32" s="229"/>
      <c r="D32" s="229"/>
      <c r="E32" s="215"/>
      <c r="F32" s="215"/>
      <c r="G32" s="215"/>
      <c r="H32" s="215"/>
      <c r="I32" s="215"/>
      <c r="J32" s="215"/>
      <c r="K32" s="215"/>
      <c r="L32" s="215"/>
      <c r="M32" s="215"/>
      <c r="N32" s="215"/>
      <c r="O32" s="174"/>
      <c r="P32" s="390"/>
      <c r="Q32" s="174"/>
      <c r="R32" s="174"/>
      <c r="S32" s="174"/>
      <c r="T32" s="174"/>
      <c r="U32" s="174"/>
      <c r="V32" s="190"/>
      <c r="W32" s="175"/>
      <c r="X32" s="175"/>
    </row>
    <row r="33" spans="1:24" ht="14.25" thickBot="1" thickTop="1">
      <c r="A33" s="180"/>
      <c r="B33" s="174"/>
      <c r="C33" s="232"/>
      <c r="D33" s="232" t="s">
        <v>25</v>
      </c>
      <c r="E33" s="61"/>
      <c r="F33" s="233" t="s">
        <v>49</v>
      </c>
      <c r="G33" s="234"/>
      <c r="H33" s="234"/>
      <c r="I33" s="235"/>
      <c r="J33" s="236" t="s">
        <v>24</v>
      </c>
      <c r="K33" s="237"/>
      <c r="L33" s="237"/>
      <c r="M33" s="237"/>
      <c r="N33" s="238"/>
      <c r="O33" s="239" t="s">
        <v>23</v>
      </c>
      <c r="P33" s="878" t="s">
        <v>80</v>
      </c>
      <c r="Q33" s="879"/>
      <c r="R33" s="879"/>
      <c r="S33" s="879"/>
      <c r="T33" s="879"/>
      <c r="U33" s="880"/>
      <c r="V33" s="190"/>
      <c r="W33" s="175"/>
      <c r="X33" s="175"/>
    </row>
    <row r="34" spans="1:24" ht="12.75">
      <c r="A34" s="180"/>
      <c r="B34" s="174"/>
      <c r="C34" s="198"/>
      <c r="D34" s="198" t="s">
        <v>0</v>
      </c>
      <c r="E34" s="62"/>
      <c r="F34" s="233" t="s">
        <v>49</v>
      </c>
      <c r="G34" s="174"/>
      <c r="H34" s="242"/>
      <c r="I34" s="220"/>
      <c r="J34" s="243" t="s">
        <v>4</v>
      </c>
      <c r="K34" s="244" t="s">
        <v>7</v>
      </c>
      <c r="L34" s="244">
        <f>IF(Scale_Above="",0,(VLOOKUP(Scale_Above,hbx,2,FALSE)))</f>
        <v>0</v>
      </c>
      <c r="M34" s="244" t="s">
        <v>67</v>
      </c>
      <c r="N34" s="245" t="s">
        <v>2</v>
      </c>
      <c r="O34" s="212"/>
      <c r="P34" s="246"/>
      <c r="Q34" s="247" t="s">
        <v>4</v>
      </c>
      <c r="R34" s="247" t="s">
        <v>7</v>
      </c>
      <c r="S34" s="514">
        <f>IF(Scale_Above="",0,(VLOOKUP(Scale_Above,hbx,2,FALSE)))</f>
        <v>0</v>
      </c>
      <c r="T34" s="248" t="s">
        <v>67</v>
      </c>
      <c r="U34" s="515" t="s">
        <v>5</v>
      </c>
      <c r="V34" s="190"/>
      <c r="W34" s="175"/>
      <c r="X34" s="175"/>
    </row>
    <row r="35" spans="1:24" ht="21" customHeight="1">
      <c r="A35" s="250"/>
      <c r="B35" s="220"/>
      <c r="C35" s="198"/>
      <c r="D35" s="198" t="s">
        <v>52</v>
      </c>
      <c r="E35" s="516"/>
      <c r="F35" s="233"/>
      <c r="G35" s="174"/>
      <c r="H35" s="242"/>
      <c r="I35" s="220"/>
      <c r="J35" s="251">
        <f>IF(Instructor="",0,VLOOKUP(Instructor,Instr_Range,2))</f>
        <v>0</v>
      </c>
      <c r="K35" s="252">
        <f>SUM(Instr_Tot_HST)</f>
        <v>0</v>
      </c>
      <c r="L35" s="252">
        <f>IF(Scale&gt;=4,SUM(Instr_Tot_HSR),0)</f>
        <v>0</v>
      </c>
      <c r="M35" s="252">
        <f>((N35-(Instr_base+SUM(Instr_Tot_HST)+SUM(Instr_Tot_HSR))))</f>
        <v>0</v>
      </c>
      <c r="N35" s="253">
        <f>J35*H28</f>
        <v>0</v>
      </c>
      <c r="O35" s="212"/>
      <c r="P35" s="184"/>
      <c r="Q35" s="94"/>
      <c r="R35" s="94"/>
      <c r="S35" s="94"/>
      <c r="T35" s="94"/>
      <c r="U35" s="517">
        <f>SUM(Q35:T35)</f>
        <v>0</v>
      </c>
      <c r="V35" s="190"/>
      <c r="W35" s="175"/>
      <c r="X35" s="175"/>
    </row>
    <row r="36" spans="1:24" ht="15" customHeight="1">
      <c r="A36" s="180"/>
      <c r="B36" s="174"/>
      <c r="C36" s="198"/>
      <c r="D36" s="198" t="s">
        <v>45</v>
      </c>
      <c r="E36" s="516"/>
      <c r="F36" s="242"/>
      <c r="G36" s="242"/>
      <c r="H36" s="242"/>
      <c r="I36" s="220"/>
      <c r="J36" s="255">
        <f>IF(Assistant="",0,VLOOKUP(Assistant,Asst_Prof,2))</f>
        <v>0</v>
      </c>
      <c r="K36" s="252">
        <f>SUM(Asst_Tot_HST)</f>
        <v>196800</v>
      </c>
      <c r="L36" s="252">
        <f>IF(Scale&gt;=4,SUM(Asst_Tot_HSR),0)</f>
        <v>0</v>
      </c>
      <c r="M36" s="252">
        <f>((N36-(Asst_Base+SUM(Asst_Tot_HST)+SUM(Asst_Tot_HSR))))</f>
        <v>-427000</v>
      </c>
      <c r="N36" s="253">
        <f>J36*H28</f>
        <v>0</v>
      </c>
      <c r="O36" s="196"/>
      <c r="P36" s="184"/>
      <c r="Q36" s="94"/>
      <c r="R36" s="94"/>
      <c r="S36" s="94"/>
      <c r="T36" s="94"/>
      <c r="U36" s="517">
        <f>SUM(Q36:T36)</f>
        <v>0</v>
      </c>
      <c r="V36" s="190"/>
      <c r="W36" s="175"/>
      <c r="X36" s="175"/>
    </row>
    <row r="37" spans="1:24" ht="20.25" customHeight="1">
      <c r="A37" s="180"/>
      <c r="B37" s="174"/>
      <c r="C37" s="198"/>
      <c r="D37" s="198" t="s">
        <v>46</v>
      </c>
      <c r="E37" s="516"/>
      <c r="F37" s="242"/>
      <c r="G37" s="242"/>
      <c r="H37" s="242"/>
      <c r="I37" s="220"/>
      <c r="J37" s="255">
        <f>IF(Associate="",0,VLOOKUP(Associate,Assoc_Prof,2))</f>
        <v>0</v>
      </c>
      <c r="K37" s="252"/>
      <c r="L37" s="252"/>
      <c r="M37" s="252"/>
      <c r="N37" s="253">
        <f>J37*H28</f>
        <v>0</v>
      </c>
      <c r="O37" s="196"/>
      <c r="P37" s="417"/>
      <c r="Q37" s="518"/>
      <c r="R37" s="518"/>
      <c r="S37" s="518"/>
      <c r="T37" s="518"/>
      <c r="U37" s="519"/>
      <c r="V37" s="190"/>
      <c r="W37" s="175"/>
      <c r="X37" s="175"/>
    </row>
    <row r="38" spans="1:24" ht="23.25" customHeight="1" thickBot="1">
      <c r="A38" s="214"/>
      <c r="B38" s="215"/>
      <c r="C38" s="261"/>
      <c r="D38" s="261" t="s">
        <v>171</v>
      </c>
      <c r="E38" s="92"/>
      <c r="F38" s="262"/>
      <c r="G38" s="242"/>
      <c r="H38" s="242"/>
      <c r="I38" s="220"/>
      <c r="J38" s="520">
        <f>ROUND(Prof_Above,-2)</f>
        <v>0</v>
      </c>
      <c r="K38" s="521">
        <f>ROUND(IF(Scale_Above=0,0,IF(Scale_Above=1,Prof_Base_Above*0.1,IF(Scale_Above=2,Prof_Base_Above*0.2,IF(Scale_Above&gt;=3,Prof_Base_Above*0.3)))),-2)</f>
        <v>0</v>
      </c>
      <c r="L38" s="521">
        <f>ROUND(IF(Scale_Above&lt;=3,0,IF(Scale_Above=4,Prof_Base_Above*0.4-Prof_Base_Above*0.3,IF(Scale_Above=5,Prof_Base_Above*0.5-Prof_Base_Above*0.3,IF(Scale_Above=6,Prof_Base_Above*0.65-Prof_Base_Above*0.3,IF(Scale_Above=7,Prof_Base_Above*0.8-Prof_Base_Above*0.3,IF(Scale_Above=8,Prof_Base_Above*2-Prof_Base_Above*0.3,IF(Scale_Above=9,Prof_Base_Above*2.25-Prof_Base_Above*0.3))))))),-2)</f>
        <v>0</v>
      </c>
      <c r="M38" s="522">
        <f>E28-Prof_Base_Above-K38-L38</f>
        <v>0</v>
      </c>
      <c r="N38" s="267">
        <f>IF(Prof_Above="","",E28)</f>
      </c>
      <c r="O38" s="200"/>
      <c r="P38" s="268"/>
      <c r="Q38" s="523"/>
      <c r="R38" s="524"/>
      <c r="S38" s="524"/>
      <c r="T38" s="524"/>
      <c r="U38" s="525"/>
      <c r="V38" s="190"/>
      <c r="W38" s="175"/>
      <c r="X38" s="175"/>
    </row>
    <row r="39" spans="1:24" ht="13.5" thickTop="1">
      <c r="A39" s="180"/>
      <c r="B39" s="174"/>
      <c r="C39" s="174"/>
      <c r="D39" s="174"/>
      <c r="E39" s="174"/>
      <c r="F39" s="174"/>
      <c r="G39" s="417"/>
      <c r="H39" s="184"/>
      <c r="I39" s="273" t="s">
        <v>166</v>
      </c>
      <c r="J39" s="274">
        <f>SUM(J35:J38)*$E$33</f>
        <v>0</v>
      </c>
      <c r="K39" s="274">
        <f>SUM(K35:K38)*$E$33</f>
        <v>0</v>
      </c>
      <c r="L39" s="274">
        <f>SUM(L35:L38)*$E$33</f>
        <v>0</v>
      </c>
      <c r="M39" s="274">
        <f>SUM(M35:M38)*$E$33</f>
        <v>0</v>
      </c>
      <c r="N39" s="274">
        <f>SUM(N35:N38)*$E$33</f>
        <v>0</v>
      </c>
      <c r="O39" s="196"/>
      <c r="P39" s="199" t="s">
        <v>5</v>
      </c>
      <c r="Q39" s="275">
        <f>SUM(Q35:Q38)</f>
        <v>0</v>
      </c>
      <c r="R39" s="275">
        <f>SUM(R35:R38)</f>
        <v>0</v>
      </c>
      <c r="S39" s="275">
        <f>SUM(S35:S38)</f>
        <v>0</v>
      </c>
      <c r="T39" s="275">
        <f>SUM(T35:T38)</f>
        <v>0</v>
      </c>
      <c r="U39" s="275">
        <f>SUM(U35:U38)</f>
        <v>0</v>
      </c>
      <c r="V39" s="190"/>
      <c r="W39" s="175"/>
      <c r="X39" s="175"/>
    </row>
    <row r="40" spans="1:24" ht="12.75">
      <c r="A40" s="180"/>
      <c r="B40" s="277"/>
      <c r="C40" s="174"/>
      <c r="D40" s="174"/>
      <c r="E40" s="174"/>
      <c r="F40" s="174"/>
      <c r="G40" s="417"/>
      <c r="H40" s="184"/>
      <c r="I40" s="273" t="s">
        <v>167</v>
      </c>
      <c r="J40" s="278">
        <f>J39/12</f>
        <v>0</v>
      </c>
      <c r="K40" s="278">
        <f>K39/12</f>
        <v>0</v>
      </c>
      <c r="L40" s="278">
        <f>L39/12</f>
        <v>0</v>
      </c>
      <c r="M40" s="278">
        <f>M39/12</f>
        <v>0</v>
      </c>
      <c r="N40" s="278">
        <f>N39/12</f>
        <v>0</v>
      </c>
      <c r="O40" s="427"/>
      <c r="P40" s="427"/>
      <c r="Q40" s="427"/>
      <c r="R40" s="427"/>
      <c r="S40" s="427"/>
      <c r="T40" s="427"/>
      <c r="U40" s="174"/>
      <c r="V40" s="190"/>
      <c r="W40" s="175"/>
      <c r="X40" s="175"/>
    </row>
    <row r="41" spans="1:24" ht="15.75" thickBot="1">
      <c r="A41" s="526" t="s">
        <v>49</v>
      </c>
      <c r="B41" s="174"/>
      <c r="C41" s="174"/>
      <c r="D41" s="174"/>
      <c r="E41" s="174"/>
      <c r="F41" s="174"/>
      <c r="G41" s="282"/>
      <c r="H41" s="174"/>
      <c r="I41" s="283"/>
      <c r="J41" s="284">
        <f>ROUND(IF(N39&gt;0,J39/N39*E33,0),4)</f>
        <v>0</v>
      </c>
      <c r="K41" s="284">
        <f>ROUND(IF(N39&gt;0,K39/N39*E33,0),4)</f>
        <v>0</v>
      </c>
      <c r="L41" s="284">
        <f>ROUND(IF(N39&gt;0,L39/N39*E33,0),4)</f>
        <v>0</v>
      </c>
      <c r="M41" s="284">
        <f>SUM(N41-L41-K41-J41)</f>
        <v>0</v>
      </c>
      <c r="N41" s="284">
        <f>E33</f>
        <v>0</v>
      </c>
      <c r="O41" s="174"/>
      <c r="P41" s="174"/>
      <c r="Q41" s="285"/>
      <c r="R41" s="285"/>
      <c r="S41" s="285"/>
      <c r="T41" s="285"/>
      <c r="U41" s="174"/>
      <c r="V41" s="190"/>
      <c r="W41" s="175"/>
      <c r="X41" s="175"/>
    </row>
    <row r="42" spans="1:24" ht="13.5" thickBot="1">
      <c r="A42" s="288" t="s">
        <v>163</v>
      </c>
      <c r="B42" s="289"/>
      <c r="C42" s="290"/>
      <c r="D42" s="291"/>
      <c r="E42" s="292"/>
      <c r="F42" s="293"/>
      <c r="G42" s="293"/>
      <c r="H42" s="293"/>
      <c r="I42" s="294"/>
      <c r="J42" s="905" t="s">
        <v>3</v>
      </c>
      <c r="K42" s="906"/>
      <c r="L42" s="906"/>
      <c r="M42" s="906"/>
      <c r="N42" s="907"/>
      <c r="O42" s="174"/>
      <c r="P42" s="893" t="s">
        <v>135</v>
      </c>
      <c r="Q42" s="894"/>
      <c r="R42" s="894"/>
      <c r="S42" s="894"/>
      <c r="T42" s="895"/>
      <c r="U42" s="174"/>
      <c r="V42" s="190"/>
      <c r="W42" s="175"/>
      <c r="X42" s="175"/>
    </row>
    <row r="43" spans="1:24" ht="40.5" customHeight="1" thickBot="1">
      <c r="A43" s="298" t="s">
        <v>28</v>
      </c>
      <c r="B43" s="299" t="s">
        <v>31</v>
      </c>
      <c r="C43" s="300" t="s">
        <v>189</v>
      </c>
      <c r="D43" s="300" t="s">
        <v>83</v>
      </c>
      <c r="E43" s="301" t="s">
        <v>32</v>
      </c>
      <c r="F43" s="302" t="s">
        <v>29</v>
      </c>
      <c r="G43" s="302" t="s">
        <v>54</v>
      </c>
      <c r="H43" s="302" t="s">
        <v>53</v>
      </c>
      <c r="I43" s="303" t="s">
        <v>30</v>
      </c>
      <c r="J43" s="527" t="s">
        <v>4</v>
      </c>
      <c r="K43" s="528" t="s">
        <v>7</v>
      </c>
      <c r="L43" s="514">
        <f>IF(Scale_Above="",0,(VLOOKUP(Scale_Above,hbx,2,FALSE)))</f>
        <v>0</v>
      </c>
      <c r="M43" s="529" t="s">
        <v>67</v>
      </c>
      <c r="N43" s="307" t="s">
        <v>5</v>
      </c>
      <c r="O43" s="297" t="s">
        <v>23</v>
      </c>
      <c r="P43" s="308" t="s">
        <v>4</v>
      </c>
      <c r="Q43" s="305" t="s">
        <v>7</v>
      </c>
      <c r="R43" s="244">
        <f>IF(Scale_Above="","",(VLOOKUP(Scale_Above,hbx,2,FALSE)))</f>
      </c>
      <c r="S43" s="309" t="s">
        <v>67</v>
      </c>
      <c r="T43" s="310" t="s">
        <v>2</v>
      </c>
      <c r="U43" s="174"/>
      <c r="V43" s="190"/>
      <c r="W43" s="175"/>
      <c r="X43" s="175"/>
    </row>
    <row r="44" spans="1:24" ht="2.25" customHeight="1" thickBot="1">
      <c r="A44" s="312"/>
      <c r="B44" s="313"/>
      <c r="C44" s="174"/>
      <c r="D44" s="174"/>
      <c r="E44" s="174"/>
      <c r="F44" s="174"/>
      <c r="G44" s="174"/>
      <c r="H44" s="174"/>
      <c r="I44" s="314"/>
      <c r="J44" s="315"/>
      <c r="K44" s="316"/>
      <c r="L44" s="316"/>
      <c r="M44" s="316"/>
      <c r="N44" s="220"/>
      <c r="O44" s="220"/>
      <c r="P44" s="317"/>
      <c r="Q44" s="317"/>
      <c r="R44" s="317"/>
      <c r="S44" s="317"/>
      <c r="T44" s="318"/>
      <c r="U44" s="174"/>
      <c r="V44" s="190"/>
      <c r="W44" s="175"/>
      <c r="X44" s="175"/>
    </row>
    <row r="45" spans="1:24" ht="17.25" customHeight="1">
      <c r="A45" s="659"/>
      <c r="B45" s="655"/>
      <c r="C45" s="58"/>
      <c r="D45" s="58"/>
      <c r="E45" s="58"/>
      <c r="F45" s="59"/>
      <c r="G45" s="332">
        <f>IF($E82=2,SUMIF(month_source_above,2,$U$82:$U$83),IF(E82=3,SUMIF(month_source_above,3,$U$82:$U$83),IF(E82=4,F45*month_total_above,"")))</f>
      </c>
      <c r="H45" s="323">
        <f>IF(A45="",(IF(OR(E82=2,E82=3),G45-(pct_xtrmrl_above*G45),IF(E82=4,F45*month_total_above,""))),IF((VLOOKUP(A45,limits_above,4,FALSE)*$F45*time_above)&lt;G45,(VLOOKUP(A45,limits_above,4,FALSE)*$F45*time_above),IF(OR(E82=2,E82=3),G45-(pct_xtrmrl_above*G45),IF(E82=4,F45*month_total_above,""))))</f>
      </c>
      <c r="I45" s="324">
        <f aca="true" t="shared" si="2" ref="I45:I53">IF(H45="","",H45/month_total_above)</f>
      </c>
      <c r="J45" s="530">
        <f>IF($A45="",IF(J82="","",IF(fundtype1_above=4,J82,J82-(pct_xtrmrl_above*J82))),$I45*J$40)</f>
      </c>
      <c r="K45" s="530">
        <f>IF($A45="",IF(K82="","",IF(fundtype1_above=4,K82,K82-(pct_xtrmrl_above*K82))),$I45*K$40)</f>
      </c>
      <c r="L45" s="530">
        <f>IF($A45="",IF(L82="","",IF(fundtype1_above=4,L82,L82-(pct_xtrmrl_above*L82))),$I45*L$40)</f>
      </c>
      <c r="M45" s="530">
        <f>IF($A45="",IF(M82="","",IF(fundtype1_above=4,M82,M82-(pct_xtrmrl_above*M82))),$I45*M$40)</f>
      </c>
      <c r="N45" s="531">
        <f aca="true" t="shared" si="3" ref="N45:N64">SUM(J45:M45)</f>
        <v>0</v>
      </c>
      <c r="O45" s="326"/>
      <c r="P45" s="257">
        <f aca="true" t="shared" si="4" ref="P45:P53">IF(OR(OverCAP_above="No",$A45=""),"",($F45*(J$40))-(J45))</f>
      </c>
      <c r="Q45" s="257">
        <f aca="true" t="shared" si="5" ref="Q45:Q53">IF(OR(OverCAP_above="No",$A45=""),"",($F45*(K$40))-(K45))</f>
      </c>
      <c r="R45" s="257">
        <f aca="true" t="shared" si="6" ref="R45:R53">IF(OR(OverCAP_above="No",$A45=""),"",($F45*(L$40))-(L45))</f>
      </c>
      <c r="S45" s="257">
        <f aca="true" t="shared" si="7" ref="S45:S53">IF(OR(OverCAP_above="No",$A45=""),"",($F45*(M$40))-(M45))</f>
      </c>
      <c r="T45" s="532">
        <f aca="true" t="shared" si="8" ref="T45:T64">SUM(P45:S45)</f>
        <v>0</v>
      </c>
      <c r="U45" s="174"/>
      <c r="V45" s="190"/>
      <c r="W45" s="175"/>
      <c r="X45" s="175"/>
    </row>
    <row r="46" spans="1:24" ht="17.25" customHeight="1">
      <c r="A46" s="659"/>
      <c r="B46" s="655"/>
      <c r="C46" s="58"/>
      <c r="D46" s="58"/>
      <c r="E46" s="58"/>
      <c r="F46" s="59"/>
      <c r="G46" s="332">
        <f aca="true" t="shared" si="9" ref="G46:G53">IF(E83=2,SUMIF(month_source_above,2,$U$82:$U$83),IF(E83=3,SUMIF(month_source_above,3,$U$82:$U$83),IF(E83=4,F46*month_total_above,"")))</f>
      </c>
      <c r="H46" s="323">
        <f aca="true" t="shared" si="10" ref="H46:H53">IF(A46="",(IF(OR(E83=2,E83=3),G46-(pct_xtrmrl_above*G46),IF(E83=4,F46*month_total_above,""))),IF((VLOOKUP(A46,limits_above,4,FALSE)*$F46*time_above)&lt;G46,(VLOOKUP(A46,limits_above,4,FALSE)*$F46*time_above),IF(OR(E83=2,E83=3),G46-(pct_xtrmrl_above*G46),IF(E83=4,F46*month_total_above,""))))</f>
      </c>
      <c r="I46" s="324">
        <f t="shared" si="2"/>
      </c>
      <c r="J46" s="530">
        <f>IF($A46="",IF(J83="","",IF(fundtype2_above=4,J83,J83-(pct_xtrmrl_above*J83))),$I46*J$40)</f>
      </c>
      <c r="K46" s="530">
        <f>IF($A46="",IF(K83="","",IF(fundtype2_above=4,K83,K83-(pct_xtrmrl_above*K83))),$I46*K$40)</f>
      </c>
      <c r="L46" s="530">
        <f>IF($A46="",IF(L83="","",IF(fundtype2_above=4,L83,L83-(pct_xtrmrl_above*L83))),$I46*L$40)</f>
      </c>
      <c r="M46" s="530">
        <f>IF($A46="",IF(M83="","",IF(fundtype2_above=4,M83,M83-(pct_xtrmrl_above*M83))),$I46*M$40)</f>
      </c>
      <c r="N46" s="533">
        <f t="shared" si="3"/>
        <v>0</v>
      </c>
      <c r="O46" s="326"/>
      <c r="P46" s="257">
        <f t="shared" si="4"/>
      </c>
      <c r="Q46" s="257">
        <f t="shared" si="5"/>
      </c>
      <c r="R46" s="257">
        <f t="shared" si="6"/>
      </c>
      <c r="S46" s="257">
        <f t="shared" si="7"/>
      </c>
      <c r="T46" s="534">
        <f t="shared" si="8"/>
        <v>0</v>
      </c>
      <c r="U46" s="174"/>
      <c r="V46" s="190"/>
      <c r="W46" s="175"/>
      <c r="X46" s="175"/>
    </row>
    <row r="47" spans="1:24" ht="17.25" customHeight="1">
      <c r="A47" s="660"/>
      <c r="B47" s="655"/>
      <c r="C47" s="58"/>
      <c r="D47" s="58"/>
      <c r="E47" s="58"/>
      <c r="F47" s="59"/>
      <c r="G47" s="332">
        <f t="shared" si="9"/>
      </c>
      <c r="H47" s="323">
        <f t="shared" si="10"/>
      </c>
      <c r="I47" s="324">
        <f t="shared" si="2"/>
      </c>
      <c r="J47" s="530">
        <f>IF($A47="",IF(J84="","",IF(fundtype3_above=4,J84,J84-(pct_xtrmrl_above*J84))),$I47*J$40)</f>
      </c>
      <c r="K47" s="530">
        <f>IF($A47="",IF(K84="","",IF(fundtype3_above=4,K84,K84-(pct_xtrmrl_above*K84))),$I47*K$40)</f>
      </c>
      <c r="L47" s="530">
        <f>IF($A47="",IF(L84="","",IF(fundtype3_above=4,L84,L84-(pct_xtrmrl_above*L84))),$I47*L$40)</f>
      </c>
      <c r="M47" s="530">
        <f>IF($A47="",IF(M84="","",IF(fundtype3_above=4,M84,M84-(pct_xtrmrl_above*M84))),$I47*M$40)</f>
      </c>
      <c r="N47" s="533">
        <f t="shared" si="3"/>
        <v>0</v>
      </c>
      <c r="O47" s="326"/>
      <c r="P47" s="257">
        <f t="shared" si="4"/>
      </c>
      <c r="Q47" s="257">
        <f t="shared" si="5"/>
      </c>
      <c r="R47" s="257">
        <f t="shared" si="6"/>
      </c>
      <c r="S47" s="257">
        <f t="shared" si="7"/>
      </c>
      <c r="T47" s="534">
        <f t="shared" si="8"/>
        <v>0</v>
      </c>
      <c r="U47" s="174"/>
      <c r="V47" s="190"/>
      <c r="W47" s="175"/>
      <c r="X47" s="175"/>
    </row>
    <row r="48" spans="1:24" ht="17.25" customHeight="1">
      <c r="A48" s="659"/>
      <c r="B48" s="655"/>
      <c r="C48" s="58"/>
      <c r="D48" s="58"/>
      <c r="E48" s="58"/>
      <c r="F48" s="59"/>
      <c r="G48" s="332">
        <f t="shared" si="9"/>
      </c>
      <c r="H48" s="323">
        <f t="shared" si="10"/>
      </c>
      <c r="I48" s="324">
        <f t="shared" si="2"/>
      </c>
      <c r="J48" s="530">
        <f>IF($A48="",IF(J85="","",IF(fundtype4_above=4,J85,J85-(pct_xtrmrl_above*J85))),$I48*J$40)</f>
      </c>
      <c r="K48" s="530">
        <f>IF($A48="",IF(K85="","",IF(fundtype4_above=4,K85,K85-(pct_xtrmrl_above*K85))),$I48*K$40)</f>
      </c>
      <c r="L48" s="530">
        <f>IF($A48="",IF(L85="","",IF(fundtype4_above=4,L85,L85-(pct_xtrmrl_above*L85))),$I48*L$40)</f>
      </c>
      <c r="M48" s="530">
        <f>IF($A48="",IF(M85="","",IF(fundtype4_above=4,M85,M85-(pct_xtrmrl_above*M85))),$I48*M$40)</f>
      </c>
      <c r="N48" s="533">
        <f t="shared" si="3"/>
        <v>0</v>
      </c>
      <c r="O48" s="326"/>
      <c r="P48" s="257">
        <f t="shared" si="4"/>
      </c>
      <c r="Q48" s="257">
        <f t="shared" si="5"/>
      </c>
      <c r="R48" s="257">
        <f t="shared" si="6"/>
      </c>
      <c r="S48" s="257">
        <f t="shared" si="7"/>
      </c>
      <c r="T48" s="534">
        <f t="shared" si="8"/>
        <v>0</v>
      </c>
      <c r="U48" s="174"/>
      <c r="V48" s="190"/>
      <c r="W48" s="175"/>
      <c r="X48" s="175"/>
    </row>
    <row r="49" spans="1:24" ht="17.25" customHeight="1">
      <c r="A49" s="659"/>
      <c r="B49" s="655"/>
      <c r="C49" s="58"/>
      <c r="D49" s="58"/>
      <c r="E49" s="58"/>
      <c r="F49" s="59"/>
      <c r="G49" s="332">
        <f t="shared" si="9"/>
      </c>
      <c r="H49" s="323">
        <f t="shared" si="10"/>
      </c>
      <c r="I49" s="324">
        <f t="shared" si="2"/>
      </c>
      <c r="J49" s="530">
        <f>IF($A49="",IF(J86="","",IF(fundtype5_above=4,J86,J86-(pct_xtrmrl_above*J86))),$I49*J$40)</f>
      </c>
      <c r="K49" s="530">
        <f>IF($A49="",IF(K86="","",IF(fundtype5_above=4,K86,K86-(pct_xtrmrl_above*K86))),$I49*K$40)</f>
      </c>
      <c r="L49" s="530">
        <f>IF($A49="",IF(L86="","",IF(fundtype5_above=4,L86,L86-(pct_xtrmrl_above*L86))),$I49*L$40)</f>
      </c>
      <c r="M49" s="530">
        <f>IF($A49="",IF(M86="","",IF(fundtype5_above=4,M86,M86-(pct_xtrmrl_above*M86))),$I49*M$40)</f>
      </c>
      <c r="N49" s="533">
        <f t="shared" si="3"/>
        <v>0</v>
      </c>
      <c r="O49" s="326"/>
      <c r="P49" s="257">
        <f t="shared" si="4"/>
      </c>
      <c r="Q49" s="257">
        <f t="shared" si="5"/>
      </c>
      <c r="R49" s="257">
        <f t="shared" si="6"/>
      </c>
      <c r="S49" s="257">
        <f t="shared" si="7"/>
      </c>
      <c r="T49" s="534">
        <f t="shared" si="8"/>
        <v>0</v>
      </c>
      <c r="U49" s="174"/>
      <c r="V49" s="190"/>
      <c r="W49" s="175"/>
      <c r="X49" s="175"/>
    </row>
    <row r="50" spans="1:24" ht="17.25" customHeight="1">
      <c r="A50" s="660"/>
      <c r="B50" s="655"/>
      <c r="C50" s="58"/>
      <c r="D50" s="58"/>
      <c r="E50" s="58"/>
      <c r="F50" s="59"/>
      <c r="G50" s="332">
        <f t="shared" si="9"/>
      </c>
      <c r="H50" s="323">
        <f t="shared" si="10"/>
      </c>
      <c r="I50" s="324">
        <f t="shared" si="2"/>
      </c>
      <c r="J50" s="530">
        <f>IF($A50="",IF(J87="","",IF(fundtype6_above=4,J87,J87-(pct_xtrmrl_above*J87))),$I50*J$40)</f>
      </c>
      <c r="K50" s="530">
        <f>IF($A50="",IF(K87="","",IF(fundtype6_above=4,K87,K87-(pct_xtrmrl_above*K87))),$I50*K$40)</f>
      </c>
      <c r="L50" s="530">
        <f>IF($A50="",IF(L87="","",IF(fundtype6_above=4,L87,L87-(pct_xtrmrl_above*L87))),$I50*L$40)</f>
      </c>
      <c r="M50" s="530">
        <f>IF($A50="",IF(M87="","",IF(fundtype6_above=4,M87,M87-(pct_xtrmrl_above*M87))),$I50*M$40)</f>
      </c>
      <c r="N50" s="533">
        <f t="shared" si="3"/>
        <v>0</v>
      </c>
      <c r="O50" s="326"/>
      <c r="P50" s="257">
        <f t="shared" si="4"/>
      </c>
      <c r="Q50" s="257">
        <f t="shared" si="5"/>
      </c>
      <c r="R50" s="257">
        <f t="shared" si="6"/>
      </c>
      <c r="S50" s="257">
        <f t="shared" si="7"/>
      </c>
      <c r="T50" s="534">
        <f t="shared" si="8"/>
        <v>0</v>
      </c>
      <c r="U50" s="174"/>
      <c r="V50" s="190"/>
      <c r="W50" s="175"/>
      <c r="X50" s="175"/>
    </row>
    <row r="51" spans="1:24" ht="17.25" customHeight="1">
      <c r="A51" s="659"/>
      <c r="B51" s="655"/>
      <c r="C51" s="58"/>
      <c r="D51" s="58"/>
      <c r="E51" s="58"/>
      <c r="F51" s="59"/>
      <c r="G51" s="332">
        <f t="shared" si="9"/>
      </c>
      <c r="H51" s="323">
        <f t="shared" si="10"/>
      </c>
      <c r="I51" s="324">
        <f t="shared" si="2"/>
      </c>
      <c r="J51" s="530">
        <f>IF($A51="",IF(J88="","",IF(fundtype7_above=4,J88,J88-(pct_xtrmrl_above*J88))),$I51*J$40)</f>
      </c>
      <c r="K51" s="530">
        <f>IF($A51="",IF(K88="","",IF(fundtype7_above=4,K88,K88-(pct_xtrmrl_above*K88))),$I51*K$40)</f>
      </c>
      <c r="L51" s="530">
        <f>IF($A51="",IF(L88="","",IF(fundtype7_above=4,L88,L88-(pct_xtrmrl_above*L88))),$I51*L$40)</f>
      </c>
      <c r="M51" s="530">
        <f>IF($A51="",IF(M88="","",IF(fundtype7_above=4,M88,M88-(pct_xtrmrl_above*M88))),$I51*M$40)</f>
      </c>
      <c r="N51" s="533">
        <f t="shared" si="3"/>
        <v>0</v>
      </c>
      <c r="O51" s="326"/>
      <c r="P51" s="257">
        <f t="shared" si="4"/>
      </c>
      <c r="Q51" s="257">
        <f t="shared" si="5"/>
      </c>
      <c r="R51" s="257">
        <f t="shared" si="6"/>
      </c>
      <c r="S51" s="257">
        <f t="shared" si="7"/>
      </c>
      <c r="T51" s="534">
        <f t="shared" si="8"/>
        <v>0</v>
      </c>
      <c r="U51" s="174"/>
      <c r="V51" s="190"/>
      <c r="W51" s="175"/>
      <c r="X51" s="175"/>
    </row>
    <row r="52" spans="1:24" ht="17.25" customHeight="1">
      <c r="A52" s="660"/>
      <c r="B52" s="655"/>
      <c r="C52" s="60"/>
      <c r="D52" s="60"/>
      <c r="E52" s="58"/>
      <c r="F52" s="59"/>
      <c r="G52" s="332">
        <f t="shared" si="9"/>
      </c>
      <c r="H52" s="323">
        <f t="shared" si="10"/>
      </c>
      <c r="I52" s="324">
        <f t="shared" si="2"/>
      </c>
      <c r="J52" s="530">
        <f>IF($A52="",IF(J89="","",IF(fundtype8_above=4,J89,J89-(pct_xtrmrl_above*J89))),$I52*J$40)</f>
      </c>
      <c r="K52" s="530">
        <f>IF($A52="",IF(K89="","",IF(fundtype8_above=4,K89,K89-(pct_xtrmrl_above*K89))),$I52*K$40)</f>
      </c>
      <c r="L52" s="530">
        <f>IF($A52="",IF(L89="","",IF(fundtype8_above=4,L89,L89-(pct_xtrmrl_above*L89))),$I52*L$40)</f>
      </c>
      <c r="M52" s="530">
        <f>IF($A52="",IF(M89="","",IF(fundtype8_above=4,M89,M89-(pct_xtrmrl_above*M89))),$I52*M$40)</f>
      </c>
      <c r="N52" s="533">
        <f t="shared" si="3"/>
        <v>0</v>
      </c>
      <c r="O52" s="326"/>
      <c r="P52" s="257">
        <f t="shared" si="4"/>
      </c>
      <c r="Q52" s="257">
        <f t="shared" si="5"/>
      </c>
      <c r="R52" s="257">
        <f t="shared" si="6"/>
      </c>
      <c r="S52" s="257">
        <f t="shared" si="7"/>
      </c>
      <c r="T52" s="534">
        <f t="shared" si="8"/>
        <v>0</v>
      </c>
      <c r="U52" s="174"/>
      <c r="V52" s="190"/>
      <c r="W52" s="175"/>
      <c r="X52" s="175"/>
    </row>
    <row r="53" spans="1:24" ht="17.25" customHeight="1">
      <c r="A53" s="660"/>
      <c r="B53" s="655"/>
      <c r="C53" s="60"/>
      <c r="D53" s="60"/>
      <c r="E53" s="58"/>
      <c r="F53" s="59"/>
      <c r="G53" s="332">
        <f t="shared" si="9"/>
      </c>
      <c r="H53" s="323">
        <f t="shared" si="10"/>
      </c>
      <c r="I53" s="324">
        <f t="shared" si="2"/>
      </c>
      <c r="J53" s="530">
        <f>IF($A53="",IF(J90="","",IF(fundtype9_above=4,J90,J90-(pct_xtrmrl_above*J90))),$I53*J$40)</f>
      </c>
      <c r="K53" s="530">
        <f>IF($A53="",IF(K90="","",IF(fundtype9_above=4,K90,K90-(pct_xtrmrl_above*K90))),$I53*K$40)</f>
      </c>
      <c r="L53" s="530">
        <f>IF($A53="",IF(L90="","",IF(fundtype9_above=4,L90,L90-(pct_xtrmrl_above*L90))),$I53*L$40)</f>
      </c>
      <c r="M53" s="530">
        <f>IF($A53="",IF(M90="","",IF(fundtype9_above=4,M90,M90-(pct_xtrmrl_above*M90))),$I53*M$40)</f>
      </c>
      <c r="N53" s="533">
        <f t="shared" si="3"/>
        <v>0</v>
      </c>
      <c r="O53" s="326"/>
      <c r="P53" s="257">
        <f t="shared" si="4"/>
      </c>
      <c r="Q53" s="257">
        <f t="shared" si="5"/>
      </c>
      <c r="R53" s="257">
        <f t="shared" si="6"/>
      </c>
      <c r="S53" s="257">
        <f t="shared" si="7"/>
      </c>
      <c r="T53" s="534">
        <f t="shared" si="8"/>
        <v>0</v>
      </c>
      <c r="U53" s="174"/>
      <c r="V53" s="190"/>
      <c r="W53" s="175"/>
      <c r="X53" s="175"/>
    </row>
    <row r="54" spans="1:24" ht="17.25" customHeight="1" hidden="1">
      <c r="A54" s="497"/>
      <c r="B54" s="498"/>
      <c r="C54" s="499"/>
      <c r="D54" s="499"/>
      <c r="E54" s="444"/>
      <c r="F54" s="500"/>
      <c r="G54" s="535"/>
      <c r="H54" s="333">
        <f aca="true" t="shared" si="11" ref="H54:H64">IF(ISERROR(IF(A54="",I54*(Annual_Salary/12),I54*(VLOOKUP(A54,SalaryLimits,2,FALSE))/12)),0,IF(A54="",I54*(Annual_Salary/12),I54*(VLOOKUP(A54,SalaryLimits,2,FALSE))/12))</f>
        <v>0</v>
      </c>
      <c r="I54" s="324">
        <f aca="true" t="shared" si="12" ref="I54:I64">IF(ISERROR(ROUND(IF(AND(F54="",A54=""),G54/(Annual_Salary/12),IF(AND(F54="",A54&lt;&gt;""),G54/(VLOOKUP(A54,SalaryLimits,2,FALSE)/12),F54)),4)),0,ROUND(IF(AND(F54="",A54=""),G54/(Annual_Salary/12),IF(AND(F54="",A54&lt;&gt;""),G54/(VLOOKUP(A54,SalaryLimits,2,FALSE)/12),F54)),4))</f>
        <v>0</v>
      </c>
      <c r="J54" s="530">
        <f aca="true" t="shared" si="13" ref="J54:J64">IF(ISERROR(IF(I54&lt;J90,I54,J90)),0,IF(I54&lt;J90,I54,J90))</f>
        <v>0</v>
      </c>
      <c r="K54" s="536">
        <f aca="true" t="shared" si="14" ref="K54:K64">IF(ISERROR(IF(Y54&lt;K90,Y54,K90)),0,IF(Y54&lt;K90,Y54,K90))</f>
      </c>
      <c r="L54" s="536">
        <f aca="true" t="shared" si="15" ref="L54:L64">IF(ISERROR(IF(Z54&lt;L90,Z54,L90)),0,IF(Z54&lt;L90,Z54,L90))</f>
      </c>
      <c r="M54" s="533">
        <f aca="true" t="shared" si="16" ref="M54:M64">IF(ISERROR(IF(AA54&lt;M90,AA54,M90)),0,IF(AA54&lt;M90,AA54,M90))</f>
      </c>
      <c r="N54" s="533">
        <f t="shared" si="3"/>
        <v>0</v>
      </c>
      <c r="O54" s="326"/>
      <c r="P54" s="257">
        <f aca="true" t="shared" si="17" ref="P54:P64">IF(OR(OverCAP="No",A54=""),0,(J54*(Annual_Salary/12))-(J54*(VLOOKUP(A54,SalaryLimits,2,FALSE)/12)))</f>
        <v>0</v>
      </c>
      <c r="Q54" s="258">
        <f aca="true" t="shared" si="18" ref="Q54:Q64">IF(OR(OverCAP="No",A54=""),0,(K54*(Annual_Salary/12))-(K54*(VLOOKUP(A54,SalaryLimits,2,FALSE)/12)))</f>
        <v>0</v>
      </c>
      <c r="R54" s="258">
        <f aca="true" t="shared" si="19" ref="R54:R64">IF(OR(OverCAP="No",A54=""),0,(L54*(Annual_Salary/12))-(L54*(VLOOKUP(A54,SalaryLimits,2,FALSE)/12)))</f>
        <v>0</v>
      </c>
      <c r="S54" s="259">
        <f aca="true" t="shared" si="20" ref="S54:S64">IF(OR(OverCAP="No",A54=""),0,(M54*(Annual_Salary/12))-(M54*(VLOOKUP(A54,SalaryLimits,2,FALSE)/12)))</f>
        <v>0</v>
      </c>
      <c r="T54" s="537">
        <f t="shared" si="8"/>
        <v>0</v>
      </c>
      <c r="U54" s="174"/>
      <c r="V54" s="190"/>
      <c r="W54" s="175"/>
      <c r="X54" s="175"/>
    </row>
    <row r="55" spans="1:24" ht="17.25" customHeight="1" hidden="1">
      <c r="A55" s="497"/>
      <c r="B55" s="498"/>
      <c r="C55" s="499"/>
      <c r="D55" s="499"/>
      <c r="E55" s="444"/>
      <c r="F55" s="500"/>
      <c r="G55" s="535"/>
      <c r="H55" s="333">
        <f t="shared" si="11"/>
        <v>0</v>
      </c>
      <c r="I55" s="324">
        <f t="shared" si="12"/>
        <v>0</v>
      </c>
      <c r="J55" s="530">
        <f t="shared" si="13"/>
        <v>0</v>
      </c>
      <c r="K55" s="536">
        <f t="shared" si="14"/>
        <v>0</v>
      </c>
      <c r="L55" s="536">
        <f t="shared" si="15"/>
        <v>0</v>
      </c>
      <c r="M55" s="533">
        <f t="shared" si="16"/>
        <v>0</v>
      </c>
      <c r="N55" s="533">
        <f t="shared" si="3"/>
        <v>0</v>
      </c>
      <c r="O55" s="326"/>
      <c r="P55" s="257">
        <f t="shared" si="17"/>
        <v>0</v>
      </c>
      <c r="Q55" s="258">
        <f t="shared" si="18"/>
        <v>0</v>
      </c>
      <c r="R55" s="258">
        <f t="shared" si="19"/>
        <v>0</v>
      </c>
      <c r="S55" s="259">
        <f t="shared" si="20"/>
        <v>0</v>
      </c>
      <c r="T55" s="537">
        <f t="shared" si="8"/>
        <v>0</v>
      </c>
      <c r="U55" s="174"/>
      <c r="V55" s="190"/>
      <c r="W55" s="175"/>
      <c r="X55" s="175"/>
    </row>
    <row r="56" spans="1:24" ht="17.25" customHeight="1" hidden="1">
      <c r="A56" s="497"/>
      <c r="B56" s="498"/>
      <c r="C56" s="499"/>
      <c r="D56" s="499"/>
      <c r="E56" s="444"/>
      <c r="F56" s="500"/>
      <c r="G56" s="535"/>
      <c r="H56" s="333">
        <f t="shared" si="11"/>
        <v>0</v>
      </c>
      <c r="I56" s="324">
        <f t="shared" si="12"/>
        <v>0</v>
      </c>
      <c r="J56" s="530">
        <f t="shared" si="13"/>
        <v>0</v>
      </c>
      <c r="K56" s="536">
        <f t="shared" si="14"/>
        <v>0</v>
      </c>
      <c r="L56" s="536">
        <f t="shared" si="15"/>
        <v>0</v>
      </c>
      <c r="M56" s="533">
        <f t="shared" si="16"/>
        <v>0</v>
      </c>
      <c r="N56" s="533">
        <f t="shared" si="3"/>
        <v>0</v>
      </c>
      <c r="O56" s="326"/>
      <c r="P56" s="257">
        <f t="shared" si="17"/>
        <v>0</v>
      </c>
      <c r="Q56" s="258">
        <f t="shared" si="18"/>
        <v>0</v>
      </c>
      <c r="R56" s="258">
        <f t="shared" si="19"/>
        <v>0</v>
      </c>
      <c r="S56" s="259">
        <f t="shared" si="20"/>
        <v>0</v>
      </c>
      <c r="T56" s="537">
        <f t="shared" si="8"/>
        <v>0</v>
      </c>
      <c r="U56" s="174"/>
      <c r="V56" s="190"/>
      <c r="W56" s="175"/>
      <c r="X56" s="175"/>
    </row>
    <row r="57" spans="1:24" ht="17.25" customHeight="1" hidden="1">
      <c r="A57" s="497"/>
      <c r="B57" s="498"/>
      <c r="C57" s="499"/>
      <c r="D57" s="499"/>
      <c r="E57" s="444"/>
      <c r="F57" s="500"/>
      <c r="G57" s="535"/>
      <c r="H57" s="333">
        <f t="shared" si="11"/>
        <v>0</v>
      </c>
      <c r="I57" s="324">
        <f t="shared" si="12"/>
        <v>0</v>
      </c>
      <c r="J57" s="530">
        <f t="shared" si="13"/>
        <v>0</v>
      </c>
      <c r="K57" s="536">
        <f t="shared" si="14"/>
        <v>0</v>
      </c>
      <c r="L57" s="536">
        <f t="shared" si="15"/>
        <v>0</v>
      </c>
      <c r="M57" s="533">
        <f t="shared" si="16"/>
        <v>0</v>
      </c>
      <c r="N57" s="533">
        <f t="shared" si="3"/>
        <v>0</v>
      </c>
      <c r="O57" s="326"/>
      <c r="P57" s="257">
        <f t="shared" si="17"/>
        <v>0</v>
      </c>
      <c r="Q57" s="258">
        <f t="shared" si="18"/>
        <v>0</v>
      </c>
      <c r="R57" s="258">
        <f t="shared" si="19"/>
        <v>0</v>
      </c>
      <c r="S57" s="259">
        <f t="shared" si="20"/>
        <v>0</v>
      </c>
      <c r="T57" s="537">
        <f t="shared" si="8"/>
        <v>0</v>
      </c>
      <c r="U57" s="174"/>
      <c r="V57" s="190"/>
      <c r="W57" s="175"/>
      <c r="X57" s="175"/>
    </row>
    <row r="58" spans="1:24" ht="17.25" customHeight="1" hidden="1">
      <c r="A58" s="497"/>
      <c r="B58" s="498"/>
      <c r="C58" s="499"/>
      <c r="D58" s="499"/>
      <c r="E58" s="444"/>
      <c r="F58" s="500"/>
      <c r="G58" s="535"/>
      <c r="H58" s="333">
        <f t="shared" si="11"/>
        <v>0</v>
      </c>
      <c r="I58" s="324">
        <f t="shared" si="12"/>
        <v>0</v>
      </c>
      <c r="J58" s="530">
        <f t="shared" si="13"/>
        <v>0</v>
      </c>
      <c r="K58" s="536">
        <f t="shared" si="14"/>
        <v>0</v>
      </c>
      <c r="L58" s="536">
        <f t="shared" si="15"/>
        <v>0</v>
      </c>
      <c r="M58" s="533">
        <f t="shared" si="16"/>
        <v>0</v>
      </c>
      <c r="N58" s="533">
        <f t="shared" si="3"/>
        <v>0</v>
      </c>
      <c r="O58" s="326"/>
      <c r="P58" s="257">
        <f t="shared" si="17"/>
        <v>0</v>
      </c>
      <c r="Q58" s="258">
        <f t="shared" si="18"/>
        <v>0</v>
      </c>
      <c r="R58" s="258">
        <f t="shared" si="19"/>
        <v>0</v>
      </c>
      <c r="S58" s="259">
        <f t="shared" si="20"/>
        <v>0</v>
      </c>
      <c r="T58" s="537">
        <f t="shared" si="8"/>
        <v>0</v>
      </c>
      <c r="U58" s="174"/>
      <c r="V58" s="190"/>
      <c r="W58" s="175"/>
      <c r="X58" s="175"/>
    </row>
    <row r="59" spans="1:24" ht="17.25" customHeight="1" hidden="1">
      <c r="A59" s="497"/>
      <c r="B59" s="498"/>
      <c r="C59" s="499"/>
      <c r="D59" s="499"/>
      <c r="E59" s="444"/>
      <c r="F59" s="500"/>
      <c r="G59" s="535"/>
      <c r="H59" s="333">
        <f t="shared" si="11"/>
        <v>0</v>
      </c>
      <c r="I59" s="324">
        <f t="shared" si="12"/>
        <v>0</v>
      </c>
      <c r="J59" s="530">
        <f t="shared" si="13"/>
        <v>0</v>
      </c>
      <c r="K59" s="536">
        <f t="shared" si="14"/>
        <v>0</v>
      </c>
      <c r="L59" s="536">
        <f t="shared" si="15"/>
        <v>0</v>
      </c>
      <c r="M59" s="533">
        <f t="shared" si="16"/>
        <v>0</v>
      </c>
      <c r="N59" s="533">
        <f t="shared" si="3"/>
        <v>0</v>
      </c>
      <c r="O59" s="326"/>
      <c r="P59" s="257">
        <f t="shared" si="17"/>
        <v>0</v>
      </c>
      <c r="Q59" s="258">
        <f t="shared" si="18"/>
        <v>0</v>
      </c>
      <c r="R59" s="258">
        <f t="shared" si="19"/>
        <v>0</v>
      </c>
      <c r="S59" s="259">
        <f t="shared" si="20"/>
        <v>0</v>
      </c>
      <c r="T59" s="537">
        <f t="shared" si="8"/>
        <v>0</v>
      </c>
      <c r="U59" s="174"/>
      <c r="V59" s="190"/>
      <c r="W59" s="175"/>
      <c r="X59" s="175"/>
    </row>
    <row r="60" spans="1:24" ht="17.25" customHeight="1" hidden="1">
      <c r="A60" s="497"/>
      <c r="B60" s="498"/>
      <c r="C60" s="499"/>
      <c r="D60" s="499"/>
      <c r="E60" s="444"/>
      <c r="F60" s="500"/>
      <c r="G60" s="535"/>
      <c r="H60" s="333">
        <f t="shared" si="11"/>
        <v>0</v>
      </c>
      <c r="I60" s="324">
        <f t="shared" si="12"/>
        <v>0</v>
      </c>
      <c r="J60" s="530">
        <f t="shared" si="13"/>
        <v>0</v>
      </c>
      <c r="K60" s="536">
        <f t="shared" si="14"/>
        <v>0</v>
      </c>
      <c r="L60" s="536">
        <f t="shared" si="15"/>
        <v>0</v>
      </c>
      <c r="M60" s="533">
        <f t="shared" si="16"/>
        <v>0</v>
      </c>
      <c r="N60" s="533">
        <f t="shared" si="3"/>
        <v>0</v>
      </c>
      <c r="O60" s="326"/>
      <c r="P60" s="257">
        <f t="shared" si="17"/>
        <v>0</v>
      </c>
      <c r="Q60" s="258">
        <f t="shared" si="18"/>
        <v>0</v>
      </c>
      <c r="R60" s="258">
        <f t="shared" si="19"/>
        <v>0</v>
      </c>
      <c r="S60" s="259">
        <f t="shared" si="20"/>
        <v>0</v>
      </c>
      <c r="T60" s="537">
        <f t="shared" si="8"/>
        <v>0</v>
      </c>
      <c r="U60" s="174"/>
      <c r="V60" s="190"/>
      <c r="W60" s="175"/>
      <c r="X60" s="175"/>
    </row>
    <row r="61" spans="1:24" ht="17.25" customHeight="1" hidden="1">
      <c r="A61" s="497"/>
      <c r="B61" s="498"/>
      <c r="C61" s="499"/>
      <c r="D61" s="499"/>
      <c r="E61" s="444"/>
      <c r="F61" s="500"/>
      <c r="G61" s="535"/>
      <c r="H61" s="333">
        <f t="shared" si="11"/>
        <v>0</v>
      </c>
      <c r="I61" s="324">
        <f t="shared" si="12"/>
        <v>0</v>
      </c>
      <c r="J61" s="530">
        <f t="shared" si="13"/>
        <v>0</v>
      </c>
      <c r="K61" s="536">
        <f t="shared" si="14"/>
        <v>0</v>
      </c>
      <c r="L61" s="536">
        <f t="shared" si="15"/>
        <v>0</v>
      </c>
      <c r="M61" s="533">
        <f t="shared" si="16"/>
        <v>0</v>
      </c>
      <c r="N61" s="533">
        <f t="shared" si="3"/>
        <v>0</v>
      </c>
      <c r="O61" s="326"/>
      <c r="P61" s="257">
        <f t="shared" si="17"/>
        <v>0</v>
      </c>
      <c r="Q61" s="258">
        <f t="shared" si="18"/>
        <v>0</v>
      </c>
      <c r="R61" s="258">
        <f t="shared" si="19"/>
        <v>0</v>
      </c>
      <c r="S61" s="259">
        <f t="shared" si="20"/>
        <v>0</v>
      </c>
      <c r="T61" s="537">
        <f t="shared" si="8"/>
        <v>0</v>
      </c>
      <c r="U61" s="174"/>
      <c r="V61" s="190"/>
      <c r="W61" s="175"/>
      <c r="X61" s="175"/>
    </row>
    <row r="62" spans="1:30" ht="17.25" customHeight="1" hidden="1">
      <c r="A62" s="497"/>
      <c r="B62" s="498"/>
      <c r="C62" s="499"/>
      <c r="D62" s="499"/>
      <c r="E62" s="444"/>
      <c r="F62" s="500"/>
      <c r="G62" s="535"/>
      <c r="H62" s="333">
        <f t="shared" si="11"/>
        <v>0</v>
      </c>
      <c r="I62" s="324">
        <f t="shared" si="12"/>
        <v>0</v>
      </c>
      <c r="J62" s="530">
        <f t="shared" si="13"/>
        <v>0</v>
      </c>
      <c r="K62" s="536">
        <f t="shared" si="14"/>
        <v>0</v>
      </c>
      <c r="L62" s="536">
        <f t="shared" si="15"/>
        <v>0</v>
      </c>
      <c r="M62" s="533">
        <f t="shared" si="16"/>
        <v>0</v>
      </c>
      <c r="N62" s="533">
        <f t="shared" si="3"/>
        <v>0</v>
      </c>
      <c r="O62" s="326"/>
      <c r="P62" s="257">
        <f t="shared" si="17"/>
        <v>0</v>
      </c>
      <c r="Q62" s="258">
        <f t="shared" si="18"/>
        <v>0</v>
      </c>
      <c r="R62" s="258">
        <f t="shared" si="19"/>
        <v>0</v>
      </c>
      <c r="S62" s="259">
        <f t="shared" si="20"/>
        <v>0</v>
      </c>
      <c r="T62" s="537">
        <f t="shared" si="8"/>
        <v>0</v>
      </c>
      <c r="U62" s="174"/>
      <c r="V62" s="190"/>
      <c r="W62" s="175"/>
      <c r="X62" s="175"/>
      <c r="AD62" s="26"/>
    </row>
    <row r="63" spans="1:30" ht="17.25" customHeight="1" hidden="1">
      <c r="A63" s="497"/>
      <c r="B63" s="498"/>
      <c r="C63" s="499"/>
      <c r="D63" s="499"/>
      <c r="E63" s="444"/>
      <c r="F63" s="500"/>
      <c r="G63" s="535"/>
      <c r="H63" s="333">
        <f t="shared" si="11"/>
        <v>0</v>
      </c>
      <c r="I63" s="324">
        <f t="shared" si="12"/>
        <v>0</v>
      </c>
      <c r="J63" s="530">
        <f t="shared" si="13"/>
        <v>0</v>
      </c>
      <c r="K63" s="536">
        <f t="shared" si="14"/>
        <v>0</v>
      </c>
      <c r="L63" s="536">
        <f t="shared" si="15"/>
        <v>0</v>
      </c>
      <c r="M63" s="533">
        <f t="shared" si="16"/>
        <v>0</v>
      </c>
      <c r="N63" s="533">
        <f t="shared" si="3"/>
        <v>0</v>
      </c>
      <c r="O63" s="326"/>
      <c r="P63" s="257">
        <f t="shared" si="17"/>
        <v>0</v>
      </c>
      <c r="Q63" s="258">
        <f t="shared" si="18"/>
        <v>0</v>
      </c>
      <c r="R63" s="258">
        <f t="shared" si="19"/>
        <v>0</v>
      </c>
      <c r="S63" s="259">
        <f t="shared" si="20"/>
        <v>0</v>
      </c>
      <c r="T63" s="537">
        <f t="shared" si="8"/>
        <v>0</v>
      </c>
      <c r="U63" s="174"/>
      <c r="V63" s="190"/>
      <c r="W63" s="175"/>
      <c r="X63" s="175"/>
      <c r="AD63" s="26"/>
    </row>
    <row r="64" spans="1:24" ht="13.5" customHeight="1" hidden="1">
      <c r="A64" s="497"/>
      <c r="B64" s="498"/>
      <c r="C64" s="499"/>
      <c r="D64" s="499"/>
      <c r="E64" s="444"/>
      <c r="F64" s="500"/>
      <c r="G64" s="535"/>
      <c r="H64" s="333">
        <f t="shared" si="11"/>
        <v>0</v>
      </c>
      <c r="I64" s="324">
        <f t="shared" si="12"/>
        <v>0</v>
      </c>
      <c r="J64" s="530">
        <f t="shared" si="13"/>
        <v>0</v>
      </c>
      <c r="K64" s="536">
        <f t="shared" si="14"/>
        <v>0</v>
      </c>
      <c r="L64" s="536">
        <f t="shared" si="15"/>
        <v>0</v>
      </c>
      <c r="M64" s="533">
        <f t="shared" si="16"/>
        <v>0</v>
      </c>
      <c r="N64" s="533">
        <f t="shared" si="3"/>
        <v>0</v>
      </c>
      <c r="O64" s="326"/>
      <c r="P64" s="257">
        <f t="shared" si="17"/>
        <v>0</v>
      </c>
      <c r="Q64" s="258">
        <f t="shared" si="18"/>
        <v>0</v>
      </c>
      <c r="R64" s="258">
        <f t="shared" si="19"/>
        <v>0</v>
      </c>
      <c r="S64" s="259">
        <f t="shared" si="20"/>
        <v>0</v>
      </c>
      <c r="T64" s="538">
        <f t="shared" si="8"/>
        <v>0</v>
      </c>
      <c r="U64" s="174"/>
      <c r="V64" s="190"/>
      <c r="W64" s="175"/>
      <c r="X64" s="175"/>
    </row>
    <row r="65" spans="1:30" ht="13.5" thickBot="1">
      <c r="A65" s="446"/>
      <c r="B65" s="447" t="s">
        <v>6</v>
      </c>
      <c r="C65" s="448"/>
      <c r="D65" s="448"/>
      <c r="E65" s="449"/>
      <c r="F65" s="450"/>
      <c r="G65" s="539"/>
      <c r="H65" s="344">
        <f aca="true" t="shared" si="21" ref="H65:N65">SUM(H45:H53)</f>
        <v>0</v>
      </c>
      <c r="I65" s="344">
        <f t="shared" si="21"/>
        <v>0</v>
      </c>
      <c r="J65" s="346">
        <f t="shared" si="21"/>
        <v>0</v>
      </c>
      <c r="K65" s="346">
        <f t="shared" si="21"/>
        <v>0</v>
      </c>
      <c r="L65" s="346">
        <f t="shared" si="21"/>
        <v>0</v>
      </c>
      <c r="M65" s="346">
        <f t="shared" si="21"/>
        <v>0</v>
      </c>
      <c r="N65" s="345">
        <f t="shared" si="21"/>
        <v>0</v>
      </c>
      <c r="O65" s="359"/>
      <c r="P65" s="348">
        <f>ROUND(SUM(P45:P53),2)</f>
        <v>0</v>
      </c>
      <c r="Q65" s="348">
        <f>ROUND(SUM(Q45:Q53),2)</f>
        <v>0</v>
      </c>
      <c r="R65" s="348">
        <f>ROUND(SUM(R45:R53),2)</f>
        <v>0</v>
      </c>
      <c r="S65" s="348">
        <f>ROUND(SUM(S45:S53),2)</f>
        <v>0</v>
      </c>
      <c r="T65" s="540">
        <f>SUM(T45:T53)</f>
        <v>0</v>
      </c>
      <c r="U65" s="174"/>
      <c r="V65" s="190"/>
      <c r="W65" s="175"/>
      <c r="X65" s="175"/>
      <c r="AD65" s="26"/>
    </row>
    <row r="66" spans="1:30" ht="82.5" customHeight="1">
      <c r="A66" s="353" t="s">
        <v>49</v>
      </c>
      <c r="B66" s="354"/>
      <c r="C66" s="354"/>
      <c r="D66" s="354"/>
      <c r="E66" s="354"/>
      <c r="F66" s="354"/>
      <c r="G66" s="354"/>
      <c r="H66" s="354"/>
      <c r="I66" s="354"/>
      <c r="J66" s="354"/>
      <c r="K66" s="360" t="s">
        <v>49</v>
      </c>
      <c r="L66" s="354"/>
      <c r="M66" s="354"/>
      <c r="N66" s="881" t="s">
        <v>176</v>
      </c>
      <c r="O66" s="882"/>
      <c r="P66" s="882"/>
      <c r="Q66" s="355"/>
      <c r="R66" s="355"/>
      <c r="S66" s="355"/>
      <c r="T66" s="355"/>
      <c r="U66" s="174"/>
      <c r="V66" s="190"/>
      <c r="W66" s="175"/>
      <c r="X66" s="175"/>
      <c r="AD66" s="26"/>
    </row>
    <row r="67" spans="1:30" ht="12.75">
      <c r="A67" s="357" t="s">
        <v>48</v>
      </c>
      <c r="B67" s="174"/>
      <c r="C67" s="181"/>
      <c r="D67" s="181"/>
      <c r="E67" s="199"/>
      <c r="F67" s="199"/>
      <c r="G67" s="199"/>
      <c r="H67" s="358"/>
      <c r="I67" s="359"/>
      <c r="J67" s="359"/>
      <c r="K67" s="359"/>
      <c r="L67" s="359"/>
      <c r="M67" s="359"/>
      <c r="N67" s="359"/>
      <c r="O67" s="359"/>
      <c r="P67" s="361"/>
      <c r="Q67" s="355"/>
      <c r="R67" s="362"/>
      <c r="S67" s="362"/>
      <c r="T67" s="355"/>
      <c r="U67" s="174"/>
      <c r="V67" s="190"/>
      <c r="W67" s="175"/>
      <c r="X67" s="175"/>
      <c r="AD67" s="26"/>
    </row>
    <row r="68" spans="1:30" ht="12.75">
      <c r="A68" s="541"/>
      <c r="B68" s="542"/>
      <c r="C68" s="542"/>
      <c r="D68" s="542"/>
      <c r="E68" s="542"/>
      <c r="F68" s="542"/>
      <c r="G68" s="542"/>
      <c r="H68" s="542"/>
      <c r="I68" s="542"/>
      <c r="J68" s="542"/>
      <c r="K68" s="542"/>
      <c r="L68" s="542"/>
      <c r="M68" s="542"/>
      <c r="N68" s="542"/>
      <c r="O68" s="359"/>
      <c r="P68" s="361" t="s">
        <v>57</v>
      </c>
      <c r="Q68" s="543"/>
      <c r="R68" s="544"/>
      <c r="S68" s="545"/>
      <c r="T68" s="546"/>
      <c r="U68" s="174"/>
      <c r="V68" s="190"/>
      <c r="W68" s="175"/>
      <c r="X68" s="175"/>
      <c r="AD68" s="26"/>
    </row>
    <row r="69" spans="1:30" ht="12.75">
      <c r="A69" s="547"/>
      <c r="B69" s="542"/>
      <c r="C69" s="542"/>
      <c r="D69" s="542"/>
      <c r="E69" s="542"/>
      <c r="F69" s="542"/>
      <c r="G69" s="542"/>
      <c r="H69" s="542"/>
      <c r="I69" s="542"/>
      <c r="J69" s="542"/>
      <c r="K69" s="542"/>
      <c r="L69" s="542"/>
      <c r="M69" s="542"/>
      <c r="N69" s="542"/>
      <c r="O69" s="359"/>
      <c r="P69" s="456"/>
      <c r="Q69" s="543"/>
      <c r="R69" s="548"/>
      <c r="S69" s="549"/>
      <c r="T69" s="550"/>
      <c r="U69" s="174"/>
      <c r="V69" s="190"/>
      <c r="W69" s="175"/>
      <c r="X69" s="175"/>
      <c r="AD69" s="26"/>
    </row>
    <row r="70" spans="1:30" ht="12.75">
      <c r="A70" s="547"/>
      <c r="B70" s="542"/>
      <c r="C70" s="542"/>
      <c r="D70" s="542"/>
      <c r="E70" s="542"/>
      <c r="F70" s="542"/>
      <c r="G70" s="542"/>
      <c r="H70" s="542"/>
      <c r="I70" s="542"/>
      <c r="J70" s="542"/>
      <c r="K70" s="542"/>
      <c r="L70" s="542"/>
      <c r="M70" s="542"/>
      <c r="N70" s="542"/>
      <c r="O70" s="359"/>
      <c r="P70" s="456" t="s">
        <v>56</v>
      </c>
      <c r="Q70" s="543"/>
      <c r="R70" s="551"/>
      <c r="S70" s="552"/>
      <c r="T70" s="553"/>
      <c r="U70" s="174"/>
      <c r="V70" s="190"/>
      <c r="W70" s="175"/>
      <c r="X70" s="175"/>
      <c r="AD70" s="26"/>
    </row>
    <row r="71" spans="1:24" ht="21" customHeight="1">
      <c r="A71" s="180"/>
      <c r="B71" s="199"/>
      <c r="C71" s="199"/>
      <c r="D71" s="199"/>
      <c r="E71" s="199"/>
      <c r="F71" s="199"/>
      <c r="G71" s="199"/>
      <c r="H71" s="358"/>
      <c r="I71" s="359"/>
      <c r="J71" s="359"/>
      <c r="K71" s="359"/>
      <c r="L71" s="359"/>
      <c r="M71" s="359"/>
      <c r="N71" s="359"/>
      <c r="O71" s="359"/>
      <c r="P71" s="355"/>
      <c r="Q71" s="355"/>
      <c r="R71" s="903" t="s">
        <v>78</v>
      </c>
      <c r="S71" s="904"/>
      <c r="T71" s="904"/>
      <c r="U71" s="174"/>
      <c r="V71" s="190"/>
      <c r="W71" s="175"/>
      <c r="X71" s="175"/>
    </row>
    <row r="72" spans="1:24" ht="13.5" thickBot="1">
      <c r="A72" s="214"/>
      <c r="B72" s="368"/>
      <c r="C72" s="368"/>
      <c r="D72" s="368"/>
      <c r="E72" s="368"/>
      <c r="F72" s="368"/>
      <c r="G72" s="368"/>
      <c r="H72" s="369"/>
      <c r="I72" s="370"/>
      <c r="J72" s="370"/>
      <c r="K72" s="370"/>
      <c r="L72" s="370"/>
      <c r="M72" s="370"/>
      <c r="N72" s="370"/>
      <c r="O72" s="370"/>
      <c r="P72" s="371"/>
      <c r="Q72" s="371"/>
      <c r="R72" s="371"/>
      <c r="S72" s="371"/>
      <c r="T72" s="371"/>
      <c r="U72" s="215"/>
      <c r="V72" s="216"/>
      <c r="W72" s="175"/>
      <c r="X72" s="175"/>
    </row>
    <row r="73" spans="1:24" ht="13.5" hidden="1" thickTop="1">
      <c r="A73" s="191"/>
      <c r="B73" s="199"/>
      <c r="C73" s="199"/>
      <c r="D73" s="199"/>
      <c r="E73" s="199"/>
      <c r="F73" s="199"/>
      <c r="G73" s="199"/>
      <c r="H73" s="358"/>
      <c r="I73" s="359"/>
      <c r="J73" s="359"/>
      <c r="K73" s="359"/>
      <c r="L73" s="359"/>
      <c r="M73" s="359"/>
      <c r="N73" s="359"/>
      <c r="O73" s="359"/>
      <c r="P73" s="355"/>
      <c r="Q73" s="355"/>
      <c r="R73" s="355"/>
      <c r="S73" s="355"/>
      <c r="T73" s="355"/>
      <c r="U73" s="175"/>
      <c r="V73" s="175"/>
      <c r="W73" s="175"/>
      <c r="X73" s="175"/>
    </row>
    <row r="74" spans="1:24" ht="12.75" hidden="1">
      <c r="A74" s="191"/>
      <c r="B74" s="199"/>
      <c r="C74" s="199"/>
      <c r="D74" s="199"/>
      <c r="E74" s="199"/>
      <c r="F74" s="199"/>
      <c r="G74" s="199"/>
      <c r="H74" s="358"/>
      <c r="I74" s="359"/>
      <c r="J74" s="359"/>
      <c r="K74" s="359"/>
      <c r="L74" s="359"/>
      <c r="M74" s="359"/>
      <c r="N74" s="359"/>
      <c r="O74" s="359"/>
      <c r="P74" s="355"/>
      <c r="Q74" s="355"/>
      <c r="R74" s="355"/>
      <c r="S74" s="355"/>
      <c r="T74" s="355"/>
      <c r="U74" s="175"/>
      <c r="V74" s="175"/>
      <c r="W74" s="175"/>
      <c r="X74" s="175"/>
    </row>
    <row r="75" spans="1:20" ht="12.75" hidden="1">
      <c r="A75" s="15"/>
      <c r="B75" s="17"/>
      <c r="C75" s="17"/>
      <c r="D75" s="17"/>
      <c r="E75" s="17">
        <v>1</v>
      </c>
      <c r="F75" s="17"/>
      <c r="G75" s="17"/>
      <c r="H75" s="19"/>
      <c r="I75" s="20"/>
      <c r="J75" s="20"/>
      <c r="K75" s="20"/>
      <c r="L75" s="20"/>
      <c r="M75" s="20"/>
      <c r="N75" s="20"/>
      <c r="O75" s="20"/>
      <c r="P75" s="21">
        <v>1</v>
      </c>
      <c r="Q75" s="21"/>
      <c r="R75" s="21"/>
      <c r="S75" s="21"/>
      <c r="T75" s="21"/>
    </row>
    <row r="76" spans="1:20" ht="12.75" hidden="1">
      <c r="A76" s="15"/>
      <c r="B76" s="17"/>
      <c r="C76" s="17"/>
      <c r="D76" s="17"/>
      <c r="E76" s="17">
        <v>1</v>
      </c>
      <c r="F76" s="17"/>
      <c r="G76" s="17"/>
      <c r="H76" s="19"/>
      <c r="I76" s="20"/>
      <c r="J76" s="50">
        <v>3</v>
      </c>
      <c r="K76" s="50">
        <v>3</v>
      </c>
      <c r="L76" s="50">
        <v>3</v>
      </c>
      <c r="M76" s="50">
        <v>3</v>
      </c>
      <c r="N76" s="20"/>
      <c r="O76" s="20"/>
      <c r="P76" s="21">
        <v>1</v>
      </c>
      <c r="Q76" s="21"/>
      <c r="R76" s="21"/>
      <c r="S76" s="21"/>
      <c r="T76" s="21"/>
    </row>
    <row r="77" spans="1:20" ht="12.75" hidden="1">
      <c r="A77" s="15"/>
      <c r="B77" s="17"/>
      <c r="C77" s="17"/>
      <c r="D77" s="17"/>
      <c r="E77" s="17">
        <v>1</v>
      </c>
      <c r="F77" s="17"/>
      <c r="G77" s="17"/>
      <c r="H77" s="19"/>
      <c r="I77" s="20"/>
      <c r="J77" s="50">
        <v>2</v>
      </c>
      <c r="K77" s="50">
        <v>2</v>
      </c>
      <c r="L77" s="50">
        <v>2</v>
      </c>
      <c r="M77" s="50">
        <v>2</v>
      </c>
      <c r="N77" s="20"/>
      <c r="O77" s="20"/>
      <c r="P77" s="21"/>
      <c r="Q77" s="21"/>
      <c r="R77" s="21"/>
      <c r="S77" s="21"/>
      <c r="T77" s="21"/>
    </row>
    <row r="78" spans="1:20" ht="12.75" hidden="1">
      <c r="A78" s="15"/>
      <c r="B78" s="17"/>
      <c r="C78" s="17"/>
      <c r="D78" s="17"/>
      <c r="E78" s="17">
        <v>1</v>
      </c>
      <c r="F78" s="17"/>
      <c r="G78" s="17"/>
      <c r="H78" s="19"/>
      <c r="I78" s="20"/>
      <c r="J78" s="20"/>
      <c r="K78" s="20"/>
      <c r="L78" s="20"/>
      <c r="M78" s="20"/>
      <c r="N78" s="20"/>
      <c r="O78" s="20"/>
      <c r="P78" s="21"/>
      <c r="Q78" s="21"/>
      <c r="R78" s="21"/>
      <c r="S78" s="21"/>
      <c r="T78" s="21"/>
    </row>
    <row r="79" spans="1:20" ht="12.75" hidden="1">
      <c r="A79" s="15"/>
      <c r="B79" s="17"/>
      <c r="C79" s="17"/>
      <c r="D79" s="17"/>
      <c r="E79" s="17">
        <v>1</v>
      </c>
      <c r="F79" s="17"/>
      <c r="G79" s="17"/>
      <c r="H79" s="19"/>
      <c r="I79" s="20"/>
      <c r="J79" s="50"/>
      <c r="K79" s="50"/>
      <c r="L79" s="50"/>
      <c r="M79" s="50"/>
      <c r="N79" s="20"/>
      <c r="O79" s="20"/>
      <c r="P79" s="21"/>
      <c r="Q79" s="21"/>
      <c r="R79" s="21"/>
      <c r="S79" s="21"/>
      <c r="T79" s="21"/>
    </row>
    <row r="80" spans="5:34" ht="12.75" hidden="1">
      <c r="E80" s="16">
        <v>1</v>
      </c>
      <c r="G80" s="26"/>
      <c r="J80" s="50"/>
      <c r="K80" s="50"/>
      <c r="L80" s="50"/>
      <c r="M80" s="50"/>
      <c r="AG80" s="16">
        <v>0.27</v>
      </c>
      <c r="AH80" s="16" t="s">
        <v>19</v>
      </c>
    </row>
    <row r="81" spans="2:33" ht="12.75" hidden="1">
      <c r="B81" s="27"/>
      <c r="C81" s="15" t="s">
        <v>131</v>
      </c>
      <c r="D81" s="25" t="s">
        <v>114</v>
      </c>
      <c r="E81" s="29">
        <v>1</v>
      </c>
      <c r="F81" s="28" t="s">
        <v>91</v>
      </c>
      <c r="G81" s="28"/>
      <c r="H81" s="29"/>
      <c r="I81" s="29"/>
      <c r="J81" s="99" t="s">
        <v>4</v>
      </c>
      <c r="K81" s="100" t="s">
        <v>7</v>
      </c>
      <c r="L81" s="100">
        <f>IF(Scale_Above="",0,(VLOOKUP(Scale_Above,hbx,2,FALSE)))</f>
        <v>0</v>
      </c>
      <c r="M81" s="100" t="s">
        <v>67</v>
      </c>
      <c r="N81" s="20"/>
      <c r="O81" s="20"/>
      <c r="P81" s="30">
        <v>1</v>
      </c>
      <c r="Q81" s="31" t="s">
        <v>4</v>
      </c>
      <c r="R81" s="31" t="s">
        <v>7</v>
      </c>
      <c r="S81" s="29">
        <f>IF(Scale="","",(VLOOKUP(Scale,hbx,2,FALSE)))</f>
      </c>
      <c r="T81" s="31" t="s">
        <v>67</v>
      </c>
      <c r="U81" s="101" t="s">
        <v>164</v>
      </c>
      <c r="AG81" s="46">
        <f>SUM(AG48:AG80)</f>
        <v>0.27</v>
      </c>
    </row>
    <row r="82" spans="2:21" ht="12.75" hidden="1">
      <c r="B82" s="27"/>
      <c r="C82" s="15">
        <f>fundtype1_above</f>
        <v>1</v>
      </c>
      <c r="D82" s="25">
        <f>acct1_above</f>
        <v>0</v>
      </c>
      <c r="E82" s="15">
        <v>1</v>
      </c>
      <c r="F82" s="15">
        <f aca="true" t="shared" si="22" ref="F82:F90">IF(E82=4,F45,"")</f>
      </c>
      <c r="G82" s="22"/>
      <c r="H82" s="22"/>
      <c r="I82" s="22"/>
      <c r="J82" s="34">
        <f>IF(fundtype1_above=1,"",IF(fundtype1_above=2,SUMIF(month_source_above,2,Q$82:Q$83),IF(fundtype1_above=3,SUMIF(month_source_above,3,Q$82:Q$83),IF(fundtype1_above=4,$I45*J$40,""))))</f>
      </c>
      <c r="K82" s="34">
        <f>IF(fundtype1_above=1,"",IF(fundtype1_above=2,SUMIF(month_source_above,2,R$82:R$83),IF(fundtype1_above=3,SUMIF(month_source_above,3,R$82:R$83),IF(fundtype1_above=4,$I45*K$40,""))))</f>
      </c>
      <c r="L82" s="34">
        <f>IF(fundtype1_above=1,"",IF(fundtype1_above=2,SUMIF(month_source_above,2,S$82:S$83),IF(fundtype1_above=3,SUMIF(month_source_above,3,S$82:S$83),IF(fundtype1_above=4,$I45*L$40,""))))</f>
      </c>
      <c r="M82" s="34">
        <f>IF(fundtype1_above=1,"",IF(fundtype1_above=2,SUMIF(month_source_above,2,T$82:T$83),IF(fundtype1_above=3,SUMIF(month_source_above,3,T$82:T$83),IF(fundtype1_above=4,$I45*M$40,""))))</f>
      </c>
      <c r="N82" s="23"/>
      <c r="O82" s="23"/>
      <c r="P82" s="35">
        <v>1</v>
      </c>
      <c r="Q82" s="36">
        <f aca="true" t="shared" si="23" ref="Q82:T83">Q35</f>
        <v>0</v>
      </c>
      <c r="R82" s="36">
        <f t="shared" si="23"/>
        <v>0</v>
      </c>
      <c r="S82" s="36">
        <f t="shared" si="23"/>
        <v>0</v>
      </c>
      <c r="T82" s="36">
        <f t="shared" si="23"/>
        <v>0</v>
      </c>
      <c r="U82" s="26">
        <f>SUM(Q82:T82)</f>
        <v>0</v>
      </c>
    </row>
    <row r="83" spans="2:21" ht="12.75" hidden="1">
      <c r="B83" s="27"/>
      <c r="C83" s="15">
        <f>fundtype2_above</f>
        <v>1</v>
      </c>
      <c r="D83" s="25">
        <f>acct2_above</f>
        <v>0</v>
      </c>
      <c r="E83" s="15">
        <v>1</v>
      </c>
      <c r="F83" s="15">
        <f t="shared" si="22"/>
      </c>
      <c r="G83" s="15"/>
      <c r="H83" s="15"/>
      <c r="I83" s="15"/>
      <c r="J83" s="39">
        <f>IF(fundtype2_above=1,"",IF(fundtype2_above=2,SUMIF(month_source_above,2,Q$82:Q$83),IF(fundtype2_above=3,SUMIF(month_source_above,3,Q$82:Q$83),IF(fundtype2_above=4,$I46*J$40,""))))</f>
      </c>
      <c r="K83" s="39">
        <f>IF(fundtype2_above=1,"",IF(fundtype2_above=2,SUMIF(month_source_above,2,R$82:R$83),IF(fundtype2_above=3,SUMIF(month_source_above,3,R$82:R$83),IF(fundtype2_above=4,$I46*K$40,""))))</f>
      </c>
      <c r="L83" s="39">
        <f>IF(fundtype2_above=1,"",IF(fundtype2_above=2,SUMIF(month_source_above,2,S$82:S$83),IF(fundtype2_above=3,SUMIF(month_source_above,3,S$82:S$83),IF(fundtype2_above=4,$I46*L$40,""))))</f>
      </c>
      <c r="M83" s="39">
        <f>IF(fundtype2_above=1,"",IF(fundtype2_above=2,SUMIF(month_source_above,2,T$82:T$83),IF(fundtype2_above=3,SUMIF(month_source_above,3,T$82:T$83),IF(fundtype2_above=4,$I46*M$40,""))))</f>
      </c>
      <c r="N83" s="23"/>
      <c r="O83" s="23"/>
      <c r="P83" s="35">
        <v>1</v>
      </c>
      <c r="Q83" s="36">
        <v>1</v>
      </c>
      <c r="R83" s="36">
        <f t="shared" si="23"/>
        <v>0</v>
      </c>
      <c r="S83" s="36">
        <f t="shared" si="23"/>
        <v>0</v>
      </c>
      <c r="T83" s="36">
        <f t="shared" si="23"/>
        <v>0</v>
      </c>
      <c r="U83" s="26">
        <f>SUM(Q83:T83)</f>
        <v>1</v>
      </c>
    </row>
    <row r="84" spans="2:21" ht="12.75" hidden="1">
      <c r="B84" s="22"/>
      <c r="C84" s="15">
        <f>fundtype3_above</f>
        <v>1</v>
      </c>
      <c r="D84" s="25">
        <f>acct3_above</f>
        <v>0</v>
      </c>
      <c r="E84" s="15">
        <v>1</v>
      </c>
      <c r="F84" s="15">
        <f t="shared" si="22"/>
      </c>
      <c r="G84" s="22"/>
      <c r="H84" s="22"/>
      <c r="I84" s="22"/>
      <c r="J84" s="39">
        <f>IF(fundtype3_above=1,"",IF(fundtype3_above=2,SUMIF(month_source_above,2,Q$82:Q$83),IF(fundtype3_above=3,SUMIF(month_source_above,3,Q$82:Q$83),IF(fundtype3_above=4,$I47*J$40,""))))</f>
      </c>
      <c r="K84" s="39">
        <f>IF(fundtype3_above=1,"",IF(fundtype3_above=2,SUMIF(month_source_above,2,R$82:R$83),IF(fundtype3_above=3,SUMIF(month_source_above,3,R$82:R$83),IF(fundtype3_above=4,$I47*K$40,""))))</f>
      </c>
      <c r="L84" s="39">
        <f>IF(fundtype3_above=1,"",IF(fundtype3_above=2,SUMIF(month_source_above,2,S$82:S$83),IF(fundtype3_above=3,SUMIF(month_source_above,3,S$82:S$83),IF(fundtype3_above=4,$I47*L$40,""))))</f>
      </c>
      <c r="M84" s="39">
        <f>IF(fundtype3_above=1,"",IF(fundtype3_above=2,SUMIF(month_source_above,2,T$82:T$83),IF(fundtype3_above=3,SUMIF(month_source_above,3,T$82:T$83),IF(fundtype3_above=4,$I47*M$40,""))))</f>
      </c>
      <c r="N84" s="23"/>
      <c r="O84" s="23"/>
      <c r="P84" s="23" t="s">
        <v>5</v>
      </c>
      <c r="Q84" s="23">
        <f>SUM(Q82:Q83)</f>
        <v>1</v>
      </c>
      <c r="R84" s="23">
        <f>SUM(R82:R83)</f>
        <v>0</v>
      </c>
      <c r="S84" s="23">
        <f>SUM(S82:S83)</f>
        <v>0</v>
      </c>
      <c r="T84" s="23">
        <f>SUM(T82:T83)</f>
        <v>0</v>
      </c>
      <c r="U84" s="26">
        <f>SUM(Q84:T84)</f>
        <v>1</v>
      </c>
    </row>
    <row r="85" spans="2:20" ht="12.75" hidden="1">
      <c r="B85" s="22"/>
      <c r="C85" s="15">
        <f>fundtype4_above</f>
        <v>1</v>
      </c>
      <c r="D85" s="25">
        <f>acct4_above</f>
        <v>0</v>
      </c>
      <c r="E85" s="15">
        <v>1</v>
      </c>
      <c r="F85" s="15">
        <f t="shared" si="22"/>
      </c>
      <c r="G85" s="22"/>
      <c r="H85" s="22"/>
      <c r="I85" s="22"/>
      <c r="J85" s="39">
        <f>IF(fundtype4_above=1,"",IF(fundtype4_above=2,SUMIF(month_source_above,2,Q$82:Q$83),IF(fundtype4_above=3,SUMIF(month_source_above,3,Q$82:Q$83),IF(fundtype4_above=4,$I48*J$40,""))))</f>
      </c>
      <c r="K85" s="39">
        <f>IF(fundtype4_above=1,"",IF(fundtype4_above=2,SUMIF(month_source_above,2,R$82:R$83),IF(fundtype4_above=3,SUMIF(month_source_above,3,R$82:R$83),IF(fundtype4_above=4,$I48*K$40,""))))</f>
      </c>
      <c r="L85" s="39">
        <f>IF(fundtype4_above=1,"",IF(fundtype4_above=2,SUMIF(month_source_above,2,S$82:S$83),IF(fundtype4_above=3,SUMIF(month_source_above,3,S$82:S$83),IF(fundtype4_above=4,$I48*L$40,""))))</f>
      </c>
      <c r="M85" s="39">
        <f>IF(fundtype4_above=1,"",IF(fundtype4_above=2,SUMIF(month_source_above,2,T$82:T$83),IF(fundtype4_above=3,SUMIF(month_source_above,3,T$82:T$83),IF(fundtype4_above=4,$I48*M$40,""))))</f>
      </c>
      <c r="N85" s="23"/>
      <c r="O85" s="23"/>
      <c r="P85" s="23" t="s">
        <v>85</v>
      </c>
      <c r="Q85" s="23">
        <f aca="true" t="shared" si="24" ref="Q85:T86">IF(ISERROR(Q82/$U82),"",Q82/$U82)</f>
      </c>
      <c r="R85" s="23">
        <f t="shared" si="24"/>
      </c>
      <c r="S85" s="23">
        <f t="shared" si="24"/>
      </c>
      <c r="T85" s="23">
        <f t="shared" si="24"/>
      </c>
    </row>
    <row r="86" spans="2:20" ht="12.75" hidden="1">
      <c r="B86" s="22"/>
      <c r="C86" s="15">
        <f>fundtype5_above</f>
        <v>1</v>
      </c>
      <c r="D86" s="25">
        <f>acct5_above</f>
        <v>0</v>
      </c>
      <c r="E86" s="15">
        <v>1</v>
      </c>
      <c r="F86" s="15">
        <f t="shared" si="22"/>
      </c>
      <c r="G86" s="22"/>
      <c r="H86" s="22"/>
      <c r="I86" s="22"/>
      <c r="J86" s="39">
        <f>IF(fundtype5_above=1,"",IF(fundtype5_above=2,SUMIF(month_source_above,2,Q$82:Q$83),IF(fundtype5_above=3,SUMIF(month_source_above,3,Q$82:Q$83),IF(fundtype5_above=4,$I49*J$40,""))))</f>
      </c>
      <c r="K86" s="39">
        <f>IF(fundtype5_above=1,"",IF(fundtype5_above=2,SUMIF(month_source_above,2,R$82:R$83),IF(fundtype5_above=3,SUMIF(month_source_above,3,R$82:R$83),IF(fundtype5_above=4,$I49*K$40,""))))</f>
      </c>
      <c r="L86" s="39">
        <f>IF(fundtype5_above=1,"",IF(fundtype5_above=2,SUMIF(month_source_above,2,S$82:S$83),IF(fundtype5_above=3,SUMIF(month_source_above,3,S$82:S$83),IF(fundtype5_above=4,$I49*L$40,""))))</f>
      </c>
      <c r="M86" s="39">
        <f>IF(fundtype5_above=1,"",IF(fundtype5_above=2,SUMIF(month_source_above,2,T$82:T$83),IF(fundtype5_above=3,SUMIF(month_source_above,3,T$82:T$83),IF(fundtype5_above=4,$I49*M$40,""))))</f>
      </c>
      <c r="N86" s="23"/>
      <c r="O86" s="23"/>
      <c r="P86" s="23"/>
      <c r="Q86" s="23">
        <f t="shared" si="24"/>
        <v>1</v>
      </c>
      <c r="R86" s="23">
        <f t="shared" si="24"/>
        <v>0</v>
      </c>
      <c r="S86" s="23">
        <f t="shared" si="24"/>
        <v>0</v>
      </c>
      <c r="T86" s="23">
        <f t="shared" si="24"/>
        <v>0</v>
      </c>
    </row>
    <row r="87" spans="2:20" ht="12.75" hidden="1">
      <c r="B87" s="22"/>
      <c r="C87" s="15">
        <f>fundtype6_above</f>
        <v>1</v>
      </c>
      <c r="D87" s="25">
        <f>acct6_above</f>
        <v>0</v>
      </c>
      <c r="E87" s="15">
        <v>1</v>
      </c>
      <c r="F87" s="15">
        <f t="shared" si="22"/>
      </c>
      <c r="G87" s="22"/>
      <c r="H87" s="22"/>
      <c r="I87" s="22"/>
      <c r="J87" s="39">
        <f>IF(fundtype6_above=1,"",IF(fundtype6_above=2,SUMIF(month_source_above,2,Q$82:Q$83),IF(fundtype6_above=3,SUMIF(month_source_above,3,Q$82:Q$83),IF(fundtype6_above=4,$I50*J$40,""))))</f>
      </c>
      <c r="K87" s="39">
        <f>IF(fundtype6_above=1,"",IF(fundtype6_above=2,SUMIF(month_source_above,2,R$82:R$83),IF(fundtype6_above=3,SUMIF(month_source_above,3,R$82:R$83),IF(fundtype6_above=4,$I50*K$40,""))))</f>
      </c>
      <c r="L87" s="39">
        <f>IF(fundtype6_above=1,"",IF(fundtype6_above=2,SUMIF(month_source_above,2,S$82:S$83),IF(fundtype6_above=3,SUMIF(month_source_above,3,S$82:S$83),IF(fundtype6_above=4,$I50*L$40,""))))</f>
      </c>
      <c r="M87" s="39">
        <f>IF(fundtype6_above=1,"",IF(fundtype6_above=2,SUMIF(month_source_above,2,T$82:T$83),IF(fundtype6_above=3,SUMIF(month_source_above,3,T$82:T$83),IF(fundtype6_above=4,$I50*M$40,""))))</f>
      </c>
      <c r="N87" s="23"/>
      <c r="O87" s="23"/>
      <c r="P87" s="23"/>
      <c r="Q87" s="23"/>
      <c r="R87" s="23"/>
      <c r="S87" s="23"/>
      <c r="T87" s="23"/>
    </row>
    <row r="88" spans="2:20" ht="12.75" hidden="1">
      <c r="B88" s="22"/>
      <c r="C88" s="15">
        <f>fundtype7_above</f>
        <v>1</v>
      </c>
      <c r="D88" s="25">
        <f>acct7_above</f>
        <v>0</v>
      </c>
      <c r="E88" s="15">
        <v>1</v>
      </c>
      <c r="F88" s="15">
        <f t="shared" si="22"/>
      </c>
      <c r="G88" s="22"/>
      <c r="H88" s="22"/>
      <c r="I88" s="22"/>
      <c r="J88" s="39">
        <f>IF(fundtype7_above=1,"",IF(fundtype7_above=2,SUMIF(month_source_above,2,Q$82:Q$83),IF(fundtype7_above=3,SUMIF(month_source_above,3,Q$82:Q$83),IF(fundtype7_above=4,$I51*J$40,""))))</f>
      </c>
      <c r="K88" s="39">
        <f>IF(fundtype7_above=1,"",IF(fundtype7_above=2,SUMIF(month_source_above,2,R$82:R$83),IF(fundtype7_above=3,SUMIF(month_source_above,3,R$82:R$83),IF(fundtype7_above=4,$I51*K$40,""))))</f>
      </c>
      <c r="L88" s="39">
        <f>IF(fundtype7_above=1,"",IF(fundtype7_above=2,SUMIF(month_source_above,2,S$82:S$83),IF(fundtype7_above=3,SUMIF(month_source_above,3,S$82:S$83),IF(fundtype7_above=4,$I51*L$40,""))))</f>
      </c>
      <c r="M88" s="39">
        <f>IF(fundtype7_above=1,"",IF(fundtype7_above=2,SUMIF(month_source_above,2,T$82:T$83),IF(fundtype7_above=3,SUMIF(month_source_above,3,T$82:T$83),IF(fundtype7_above=4,$I51*M$40,""))))</f>
      </c>
      <c r="N88" s="23"/>
      <c r="O88" s="23"/>
      <c r="P88" s="23"/>
      <c r="Q88" s="23"/>
      <c r="R88" s="23"/>
      <c r="S88" s="23"/>
      <c r="T88" s="23"/>
    </row>
    <row r="89" spans="2:20" ht="12.75" hidden="1">
      <c r="B89" s="22"/>
      <c r="C89" s="15">
        <f>fundtype8_above</f>
        <v>1</v>
      </c>
      <c r="D89" s="25">
        <f>acct8_above</f>
        <v>0</v>
      </c>
      <c r="E89" s="15">
        <v>1</v>
      </c>
      <c r="F89" s="15">
        <f t="shared" si="22"/>
      </c>
      <c r="G89" s="22"/>
      <c r="H89" s="22"/>
      <c r="I89" s="22"/>
      <c r="J89" s="39">
        <f>IF(fundtype8_above=1,"",IF(fundtype8_above=2,SUMIF(month_source_above,2,Q$82:Q$83),IF(fundtype8_above=3,SUMIF(month_source_above,3,Q$82:Q$83),IF(fundtype8_above=4,$I52*J$40,""))))</f>
      </c>
      <c r="K89" s="39">
        <f>IF(fundtype8_above=1,"",IF(fundtype8_above=2,SUMIF(month_source_above,2,R$82:R$83),IF(fundtype8_above=3,SUMIF(month_source_above,3,R$82:R$83),IF(fundtype8_above=4,$I52*K$40,""))))</f>
      </c>
      <c r="L89" s="39">
        <f>IF(fundtype8_above=1,"",IF(fundtype8_above=2,SUMIF(month_source_above,2,S$82:S$83),IF(fundtype8_above=3,SUMIF(month_source_above,3,S$82:S$83),IF(fundtype8_above=4,$I52*L$40,""))))</f>
      </c>
      <c r="M89" s="39">
        <f>IF(fundtype8_above=1,"",IF(fundtype8_above=2,SUMIF(month_source_above,2,T$82:T$83),IF(fundtype8_above=3,SUMIF(month_source_above,3,T$82:T$83),IF(fundtype8_above=4,$I52*M$40,""))))</f>
      </c>
      <c r="N89" s="23"/>
      <c r="O89" s="23"/>
      <c r="P89" s="23"/>
      <c r="Q89" s="23">
        <v>1</v>
      </c>
      <c r="R89" s="23"/>
      <c r="S89" s="23"/>
      <c r="T89" s="23"/>
    </row>
    <row r="90" spans="2:20" ht="12.75" hidden="1">
      <c r="B90" s="22"/>
      <c r="C90" s="15">
        <f>fundtype9_above</f>
        <v>1</v>
      </c>
      <c r="D90" s="25">
        <f>acct9_above</f>
        <v>0</v>
      </c>
      <c r="E90" s="15">
        <v>1</v>
      </c>
      <c r="F90" s="15">
        <f t="shared" si="22"/>
      </c>
      <c r="G90" s="22"/>
      <c r="H90" s="22"/>
      <c r="I90" s="22"/>
      <c r="J90" s="39">
        <f>IF(fundtype9_above=1,"",IF(fundtype9_above=2,SUMIF(month_source_above,2,Q$82:Q$83),IF(fundtype9_above=3,SUMIF(month_source_above,3,Q$82:Q$83),IF(fundtype9_above=4,$I53*J$40,""))))</f>
      </c>
      <c r="K90" s="39">
        <f>IF(fundtype9_above=1,"",IF(fundtype9_above=2,SUMIF(month_source_above,2,R$82:R$83),IF(fundtype9_above=3,SUMIF(month_source_above,3,R$82:R$83),IF(fundtype9_above=4,$I53*K$40,""))))</f>
      </c>
      <c r="L90" s="39">
        <f>IF(fundtype9_above=1,"",IF(fundtype9_above=2,SUMIF(month_source_above,2,S$82:S$83),IF(fundtype9_above=3,SUMIF(month_source_above,3,S$82:S$83),IF(fundtype9_above=4,$I53*L$40,""))))</f>
      </c>
      <c r="M90" s="39">
        <f>IF(fundtype9_above=1,"",IF(fundtype9_above=2,SUMIF(month_source_above,2,T$82:T$83),IF(fundtype9_above=3,SUMIF(month_source_above,3,T$82:T$83),IF(fundtype9_above=4,$I53*M$40,""))))</f>
      </c>
      <c r="N90" s="23"/>
      <c r="O90" s="23"/>
      <c r="P90" s="23"/>
      <c r="Q90" s="591">
        <v>1</v>
      </c>
      <c r="R90" s="23" t="s">
        <v>182</v>
      </c>
      <c r="S90" s="23"/>
      <c r="T90" s="23"/>
    </row>
    <row r="91" spans="2:20" ht="12.75" hidden="1">
      <c r="B91" s="22"/>
      <c r="C91" s="22"/>
      <c r="D91" s="22"/>
      <c r="E91" s="22"/>
      <c r="F91" s="22"/>
      <c r="G91" s="22"/>
      <c r="H91" s="22"/>
      <c r="I91" s="22"/>
      <c r="J91" s="23"/>
      <c r="K91" s="23"/>
      <c r="L91" s="23"/>
      <c r="M91" s="23"/>
      <c r="N91" s="23"/>
      <c r="O91" s="23"/>
      <c r="P91" s="23"/>
      <c r="Q91" s="23"/>
      <c r="R91" s="23"/>
      <c r="S91" s="23"/>
      <c r="T91" s="23"/>
    </row>
    <row r="92" spans="2:20" ht="12.75" hidden="1">
      <c r="B92" s="22"/>
      <c r="C92" s="22"/>
      <c r="D92" s="22"/>
      <c r="E92" s="22"/>
      <c r="F92" s="22"/>
      <c r="G92" s="22"/>
      <c r="H92" s="22"/>
      <c r="I92" s="22"/>
      <c r="J92" s="23"/>
      <c r="K92" s="23"/>
      <c r="L92" s="23"/>
      <c r="M92" s="23"/>
      <c r="N92" s="23"/>
      <c r="O92" s="23"/>
      <c r="P92" s="23"/>
      <c r="Q92" s="23"/>
      <c r="R92" s="23"/>
      <c r="S92" s="23"/>
      <c r="T92" s="23"/>
    </row>
    <row r="93" spans="2:20" ht="12.75" hidden="1">
      <c r="B93" s="22"/>
      <c r="C93" s="22"/>
      <c r="D93" s="22"/>
      <c r="E93" s="22"/>
      <c r="F93" s="22"/>
      <c r="G93" s="22"/>
      <c r="H93" s="22"/>
      <c r="I93" s="22"/>
      <c r="J93" s="23"/>
      <c r="K93" s="23"/>
      <c r="L93" s="23"/>
      <c r="M93" s="23"/>
      <c r="N93" s="23"/>
      <c r="O93" s="23"/>
      <c r="P93" s="23"/>
      <c r="Q93" s="23"/>
      <c r="R93" s="23"/>
      <c r="S93" s="23"/>
      <c r="T93" s="23"/>
    </row>
    <row r="94" spans="2:20" ht="12.75" hidden="1">
      <c r="B94" s="22"/>
      <c r="C94" s="22"/>
      <c r="D94" s="22"/>
      <c r="E94" s="22"/>
      <c r="F94" s="22"/>
      <c r="G94" s="22"/>
      <c r="H94" s="22"/>
      <c r="I94" s="22"/>
      <c r="J94" s="23"/>
      <c r="K94" s="23"/>
      <c r="L94" s="23"/>
      <c r="M94" s="23"/>
      <c r="N94" s="23"/>
      <c r="O94" s="23"/>
      <c r="P94" s="23"/>
      <c r="Q94" s="23"/>
      <c r="R94" s="23"/>
      <c r="S94" s="23"/>
      <c r="T94" s="23"/>
    </row>
    <row r="95" spans="2:20" ht="12.75" hidden="1">
      <c r="B95" s="22"/>
      <c r="C95" s="22"/>
      <c r="D95" s="22"/>
      <c r="E95" s="22"/>
      <c r="F95" s="22"/>
      <c r="G95" s="22"/>
      <c r="H95" s="22"/>
      <c r="I95" s="22"/>
      <c r="J95" s="23"/>
      <c r="K95" s="23"/>
      <c r="L95" s="23"/>
      <c r="M95" s="23"/>
      <c r="N95" s="23"/>
      <c r="O95" s="23"/>
      <c r="P95" s="23"/>
      <c r="Q95" s="23"/>
      <c r="R95" s="23"/>
      <c r="S95" s="23"/>
      <c r="T95" s="23"/>
    </row>
    <row r="96" spans="2:20" ht="12.75" hidden="1">
      <c r="B96" s="22"/>
      <c r="C96" s="22"/>
      <c r="D96" s="22"/>
      <c r="E96" s="22"/>
      <c r="F96" s="22"/>
      <c r="G96" s="22"/>
      <c r="H96" s="22"/>
      <c r="I96" s="22"/>
      <c r="J96" s="23"/>
      <c r="K96" s="23"/>
      <c r="L96" s="23"/>
      <c r="M96" s="23"/>
      <c r="N96" s="23"/>
      <c r="O96" s="23"/>
      <c r="P96" s="23"/>
      <c r="Q96" s="23"/>
      <c r="R96" s="23"/>
      <c r="S96" s="23"/>
      <c r="T96" s="23"/>
    </row>
    <row r="97" spans="2:20" ht="12.75" hidden="1">
      <c r="B97" s="22"/>
      <c r="C97" s="22"/>
      <c r="D97" s="22"/>
      <c r="E97" s="22"/>
      <c r="F97" s="22"/>
      <c r="G97" s="22"/>
      <c r="H97" s="22"/>
      <c r="I97" s="22"/>
      <c r="J97" s="23"/>
      <c r="K97" s="23"/>
      <c r="L97" s="23"/>
      <c r="M97" s="23"/>
      <c r="N97" s="23"/>
      <c r="O97" s="23"/>
      <c r="P97" s="23"/>
      <c r="Q97" s="23"/>
      <c r="R97" s="23"/>
      <c r="S97" s="23"/>
      <c r="T97" s="23"/>
    </row>
    <row r="98" spans="2:20" ht="12.75" hidden="1">
      <c r="B98" s="22"/>
      <c r="C98" s="22"/>
      <c r="D98" s="22"/>
      <c r="E98" s="22"/>
      <c r="F98" s="22"/>
      <c r="G98" s="22"/>
      <c r="H98" s="22"/>
      <c r="I98" s="22"/>
      <c r="J98" s="23"/>
      <c r="K98" s="23"/>
      <c r="L98" s="23"/>
      <c r="M98" s="23"/>
      <c r="N98" s="23"/>
      <c r="O98" s="23"/>
      <c r="P98" s="23"/>
      <c r="Q98" s="23"/>
      <c r="R98" s="23"/>
      <c r="S98" s="23"/>
      <c r="T98" s="23"/>
    </row>
    <row r="99" spans="2:20" ht="12.75" hidden="1">
      <c r="B99" s="22"/>
      <c r="C99" s="22"/>
      <c r="D99" s="22"/>
      <c r="E99" s="22"/>
      <c r="F99" s="22"/>
      <c r="G99" s="22"/>
      <c r="H99" s="22"/>
      <c r="I99" s="22"/>
      <c r="J99" s="23"/>
      <c r="K99" s="23"/>
      <c r="L99" s="23"/>
      <c r="M99" s="23"/>
      <c r="N99" s="23"/>
      <c r="O99" s="23"/>
      <c r="P99" s="23"/>
      <c r="Q99" s="23"/>
      <c r="R99" s="23"/>
      <c r="S99" s="23"/>
      <c r="T99" s="23"/>
    </row>
    <row r="100" spans="2:20" ht="12.75" hidden="1">
      <c r="B100" s="22"/>
      <c r="C100" s="22"/>
      <c r="D100" s="22"/>
      <c r="E100" s="22"/>
      <c r="F100" s="22"/>
      <c r="G100" s="22"/>
      <c r="H100" s="22"/>
      <c r="I100" s="22"/>
      <c r="J100" s="23"/>
      <c r="K100" s="23"/>
      <c r="L100" s="23"/>
      <c r="M100" s="23"/>
      <c r="N100" s="23"/>
      <c r="O100" s="23"/>
      <c r="P100" s="23"/>
      <c r="Q100" s="23"/>
      <c r="R100" s="23"/>
      <c r="S100" s="23"/>
      <c r="T100" s="23"/>
    </row>
    <row r="101" spans="2:20" ht="12.75" hidden="1">
      <c r="B101" s="22"/>
      <c r="C101" s="22"/>
      <c r="D101" s="22"/>
      <c r="E101" s="22"/>
      <c r="F101" s="22">
        <f>SUM(F82:F100)</f>
        <v>0</v>
      </c>
      <c r="G101" s="22"/>
      <c r="H101" s="22"/>
      <c r="I101" s="22" t="s">
        <v>141</v>
      </c>
      <c r="J101" s="23">
        <f>SUM(SUMIF($E$82:$E$90,J76,$J$82:$J$90),SUMIF($E$82:$E$90,J77,$J$82:$J$90))</f>
        <v>0</v>
      </c>
      <c r="K101" s="23">
        <f>SUM(SUMIF($E$82:$E$90,K76,K$82:K$90),SUMIF($E$82:$E$90,K77,K$82:K$90))</f>
        <v>0</v>
      </c>
      <c r="L101" s="23">
        <f>SUM(SUMIF($E$82:$E$90,L76,L$82:L$90),SUMIF($E$82:$E$90,L77,L$82:L$90))</f>
        <v>0</v>
      </c>
      <c r="M101" s="23">
        <f>SUMIF($E$82:$E$90,M76,M$82:M$90)+SUMIF($E$82:$E$90,M77,M$82:M$90)</f>
        <v>0</v>
      </c>
      <c r="N101" s="23"/>
      <c r="O101" s="23"/>
      <c r="P101" s="23"/>
      <c r="Q101" s="23"/>
      <c r="R101" s="23"/>
      <c r="S101" s="23"/>
      <c r="T101" s="23"/>
    </row>
    <row r="102" spans="2:14" ht="12.75" hidden="1">
      <c r="B102" s="22"/>
      <c r="C102" s="22"/>
      <c r="D102" s="22"/>
      <c r="E102" s="22"/>
      <c r="F102" s="22"/>
      <c r="G102" s="22"/>
      <c r="H102" s="22"/>
      <c r="I102" s="22"/>
      <c r="J102" s="22"/>
      <c r="K102" s="22"/>
      <c r="L102" s="22"/>
      <c r="M102" s="22"/>
      <c r="N102" s="22"/>
    </row>
    <row r="103" spans="1:29" s="44" customFormat="1" ht="12.75" hidden="1">
      <c r="A103" s="43"/>
      <c r="B103" s="45"/>
      <c r="C103" s="45"/>
      <c r="D103" s="45"/>
      <c r="E103" s="45"/>
      <c r="F103" s="45"/>
      <c r="G103" s="45"/>
      <c r="H103" s="45"/>
      <c r="I103" s="45"/>
      <c r="J103" s="45"/>
      <c r="K103" s="45"/>
      <c r="L103" s="45"/>
      <c r="M103" s="45"/>
      <c r="N103" s="45"/>
      <c r="U103" s="16"/>
      <c r="V103" s="16"/>
      <c r="W103" s="16"/>
      <c r="X103" s="16"/>
      <c r="Y103" s="16"/>
      <c r="Z103" s="16"/>
      <c r="AA103" s="16"/>
      <c r="AB103" s="16"/>
      <c r="AC103" s="16"/>
    </row>
    <row r="104" spans="2:14" ht="12.75" hidden="1">
      <c r="B104" s="22"/>
      <c r="C104" s="22"/>
      <c r="D104" s="22"/>
      <c r="E104" s="22"/>
      <c r="F104" s="22"/>
      <c r="G104" s="22"/>
      <c r="H104" s="16" t="s">
        <v>117</v>
      </c>
      <c r="I104" s="16" t="s">
        <v>110</v>
      </c>
      <c r="J104" s="16" t="s">
        <v>116</v>
      </c>
      <c r="K104" s="16" t="s">
        <v>118</v>
      </c>
      <c r="L104" s="102" t="s">
        <v>119</v>
      </c>
      <c r="M104" s="102" t="s">
        <v>120</v>
      </c>
      <c r="N104" s="103" t="s">
        <v>130</v>
      </c>
    </row>
    <row r="105" spans="2:14" ht="12.75" hidden="1">
      <c r="B105" s="22"/>
      <c r="C105" s="22"/>
      <c r="D105" s="22"/>
      <c r="E105" s="22"/>
      <c r="F105" s="22"/>
      <c r="G105" s="22"/>
      <c r="H105" s="27">
        <v>1</v>
      </c>
      <c r="I105" s="16">
        <f>IF($K105="","",acct1_above)</f>
      </c>
      <c r="J105" s="16">
        <f>IF($K105="","",dos_1_above)</f>
      </c>
      <c r="K105" s="46">
        <f>IF(J$45&gt;0.01,J$45,"")</f>
      </c>
      <c r="L105" s="16">
        <f aca="true" t="shared" si="25" ref="L105:L117">IF(K105="","",(SUMIF($J$105:$J$140,J105,$K$105:$K$140)))</f>
      </c>
      <c r="M105" s="47">
        <f>IF(ISERROR(K105/SUMIF($J$34:$M$34,J105,$J$40:$M$40)),"",(K105/SUMIF($J$34:$M$34,J105,$J$40:$M$40)))</f>
      </c>
      <c r="N105" s="47">
        <f>IF(OR(fundtype1_above=2,fundtype1_above=3),J$82/dos1_total_above,"")</f>
      </c>
    </row>
    <row r="106" spans="2:14" ht="12.75" hidden="1">
      <c r="B106" s="22"/>
      <c r="C106" s="22"/>
      <c r="D106" s="22"/>
      <c r="E106" s="22"/>
      <c r="F106" s="22"/>
      <c r="G106" s="22"/>
      <c r="H106" s="27">
        <v>1</v>
      </c>
      <c r="I106" s="16">
        <f>IF($K106="","",acct1_above)</f>
      </c>
      <c r="J106" s="16">
        <f>IF($K106="","",dos_2_above)</f>
      </c>
      <c r="K106" s="46">
        <f>IF(K$45&gt;0.01,K$45,"")</f>
      </c>
      <c r="L106" s="16">
        <f t="shared" si="25"/>
      </c>
      <c r="M106" s="47">
        <f>IF(ISERROR(K106/SUMIF($J$34:$M$34,J106,$J$40:$M$40)),"",(K106/SUMIF($J$34:$M$34,J106,$J$40:$M$40)))</f>
      </c>
      <c r="N106" s="47">
        <f>IF(OR(fundtype1_above=2,fundtype1_above=3),K$82/dos2_total_above,"")</f>
      </c>
    </row>
    <row r="107" spans="2:14" ht="12.75" hidden="1">
      <c r="B107" s="22"/>
      <c r="C107" s="22"/>
      <c r="D107" s="22"/>
      <c r="E107" s="22"/>
      <c r="F107" s="22"/>
      <c r="G107" s="22"/>
      <c r="H107" s="27">
        <v>1</v>
      </c>
      <c r="I107" s="16">
        <f>IF($K107="","",acct1_above)</f>
      </c>
      <c r="J107" s="16">
        <f>IF($K107="","",dos_3_above)</f>
      </c>
      <c r="K107" s="46">
        <f>IF(L$45&gt;0.01,L$45,"")</f>
      </c>
      <c r="L107" s="16">
        <f t="shared" si="25"/>
      </c>
      <c r="M107" s="47">
        <f aca="true" t="shared" si="26" ref="M107:M140">IF(ISERROR(K107/SUMIF($J$34:$M$34,J107,$J$40:$M$40)),"",(K107/SUMIF($J$34:$M$34,J107,$J$40:$M$40)))</f>
      </c>
      <c r="N107" s="47">
        <f>IF(OR(fundtype1_above=2,fundtype1_above=3),L$82/dos3_total_above,"")</f>
      </c>
    </row>
    <row r="108" spans="2:14" ht="12.75" hidden="1">
      <c r="B108" s="22"/>
      <c r="C108" s="22"/>
      <c r="D108" s="22"/>
      <c r="E108" s="22"/>
      <c r="F108" s="22"/>
      <c r="G108" s="22"/>
      <c r="H108" s="27">
        <v>1</v>
      </c>
      <c r="I108" s="16">
        <f>IF($K108="","",acct1_above)</f>
      </c>
      <c r="J108" s="16">
        <f>IF($K108="","",dos_4_above)</f>
      </c>
      <c r="K108" s="46">
        <f>IF(M$45&gt;0.01,M$45,"")</f>
      </c>
      <c r="L108" s="16">
        <f t="shared" si="25"/>
      </c>
      <c r="M108" s="47">
        <f t="shared" si="26"/>
      </c>
      <c r="N108" s="47">
        <f>IF(OR(fundtype1_above=2,fundtype1_above=3),M$82/dos4_total_above,"")</f>
      </c>
    </row>
    <row r="109" spans="2:14" ht="12.75" hidden="1">
      <c r="B109" s="22"/>
      <c r="C109" s="22"/>
      <c r="D109" s="22"/>
      <c r="E109" s="22"/>
      <c r="F109" s="22"/>
      <c r="G109" s="22"/>
      <c r="H109" s="27">
        <v>2</v>
      </c>
      <c r="I109" s="16">
        <f>IF($K109="","",acct2_above)</f>
      </c>
      <c r="J109" s="16">
        <f>IF($K109="","",dos_1_above)</f>
      </c>
      <c r="K109" s="46">
        <f>IF(J$46&gt;0.01,J$46,"")</f>
      </c>
      <c r="L109" s="16">
        <f t="shared" si="25"/>
      </c>
      <c r="M109" s="47">
        <f t="shared" si="26"/>
      </c>
      <c r="N109" s="47">
        <f>IF(OR(fundtype2_above=2,fundtype2_above=3),J$83/dos1_total_above,"")</f>
      </c>
    </row>
    <row r="110" spans="2:14" ht="12.75" hidden="1">
      <c r="B110" s="22"/>
      <c r="C110" s="22"/>
      <c r="D110" s="22"/>
      <c r="E110" s="22"/>
      <c r="F110" s="22"/>
      <c r="G110" s="22"/>
      <c r="H110" s="27">
        <v>2</v>
      </c>
      <c r="I110" s="16">
        <f>IF($K110="","",acct2_above)</f>
      </c>
      <c r="J110" s="16">
        <f>IF($K110="","",dos_2_above)</f>
      </c>
      <c r="K110" s="46">
        <f>IF(K$46&gt;0.01,K$46,"")</f>
      </c>
      <c r="L110" s="16">
        <f t="shared" si="25"/>
      </c>
      <c r="M110" s="47">
        <f t="shared" si="26"/>
      </c>
      <c r="N110" s="47">
        <f>IF(OR(fundtype2_above=2,fundtype2_above=3),K$83/dos2_total_above,"")</f>
      </c>
    </row>
    <row r="111" spans="2:14" ht="12.75" hidden="1">
      <c r="B111" s="22"/>
      <c r="C111" s="22"/>
      <c r="D111" s="22"/>
      <c r="E111" s="22"/>
      <c r="F111" s="22"/>
      <c r="G111" s="22"/>
      <c r="H111" s="27">
        <v>2</v>
      </c>
      <c r="I111" s="16">
        <f>IF($K111="","",acct2_above)</f>
      </c>
      <c r="J111" s="16">
        <f>IF($K111="","",dos_3_above)</f>
      </c>
      <c r="K111" s="46">
        <f>IF(L$46&gt;0.01,L$46,"")</f>
      </c>
      <c r="L111" s="16">
        <f t="shared" si="25"/>
      </c>
      <c r="M111" s="47">
        <f t="shared" si="26"/>
      </c>
      <c r="N111" s="47">
        <f>IF(OR(fundtype2_above=2,fundtype2_above=3),L$83/dos3_total_above,"")</f>
      </c>
    </row>
    <row r="112" spans="2:14" ht="12.75" hidden="1">
      <c r="B112" s="22"/>
      <c r="C112" s="22"/>
      <c r="D112" s="22"/>
      <c r="E112" s="22"/>
      <c r="F112" s="22"/>
      <c r="G112" s="22"/>
      <c r="H112" s="27">
        <v>2</v>
      </c>
      <c r="I112" s="16">
        <f>IF($K112="","",acct2_above)</f>
      </c>
      <c r="J112" s="16">
        <f>IF($K112="","",dos_4_above)</f>
      </c>
      <c r="K112" s="46">
        <f>IF(M$46&gt;0.01,M$46,"")</f>
      </c>
      <c r="L112" s="16">
        <f t="shared" si="25"/>
      </c>
      <c r="M112" s="47">
        <f t="shared" si="26"/>
      </c>
      <c r="N112" s="47">
        <f>IF(OR(fundtype2_above=2,fundtype2_above=3),M$83/dos4_total_above,"")</f>
      </c>
    </row>
    <row r="113" spans="2:14" ht="12.75" hidden="1">
      <c r="B113" s="22"/>
      <c r="C113" s="22"/>
      <c r="D113" s="22"/>
      <c r="E113" s="22"/>
      <c r="F113" s="22"/>
      <c r="G113" s="22"/>
      <c r="H113" s="27">
        <v>3</v>
      </c>
      <c r="I113" s="16">
        <f>IF($K113="","",acct3_above)</f>
      </c>
      <c r="J113" s="16">
        <f>IF($K113="","",dos_1_above)</f>
      </c>
      <c r="K113" s="46">
        <f>IF(J$47&gt;0.01,J$47,"")</f>
      </c>
      <c r="L113" s="16">
        <f t="shared" si="25"/>
      </c>
      <c r="M113" s="47">
        <f t="shared" si="26"/>
      </c>
      <c r="N113" s="47">
        <f>IF(OR(fundtype3_above=2,fundtype3_above=3),J$84/dos1_total_above,"")</f>
      </c>
    </row>
    <row r="114" spans="2:14" ht="12.75" hidden="1">
      <c r="B114" s="22"/>
      <c r="C114" s="22"/>
      <c r="D114" s="22"/>
      <c r="E114" s="22"/>
      <c r="F114" s="22"/>
      <c r="G114" s="22"/>
      <c r="H114" s="27">
        <v>3</v>
      </c>
      <c r="I114" s="16">
        <f>IF($K114="","",acct3_above)</f>
      </c>
      <c r="J114" s="16">
        <f>IF($K114="","",dos_2_above)</f>
      </c>
      <c r="K114" s="46">
        <f>IF(K$47&gt;0.01,K$47,"")</f>
      </c>
      <c r="L114" s="16">
        <f t="shared" si="25"/>
      </c>
      <c r="M114" s="47">
        <f t="shared" si="26"/>
      </c>
      <c r="N114" s="47">
        <f>IF(OR(fundtype3_above=2,fundtype3_above=3),K$84/dos2_total_above,"")</f>
      </c>
    </row>
    <row r="115" spans="2:14" ht="12.75" hidden="1">
      <c r="B115" s="22"/>
      <c r="C115" s="22"/>
      <c r="D115" s="22"/>
      <c r="E115" s="22"/>
      <c r="F115" s="22"/>
      <c r="G115" s="22"/>
      <c r="H115" s="27">
        <v>3</v>
      </c>
      <c r="I115" s="16">
        <f>IF($K115="","",acct3_above)</f>
      </c>
      <c r="J115" s="16">
        <f>IF($K115="","",dos_3_above)</f>
      </c>
      <c r="K115" s="46">
        <f>IF(L$47&gt;0.01,L$47,"")</f>
      </c>
      <c r="L115" s="16">
        <f t="shared" si="25"/>
      </c>
      <c r="M115" s="47">
        <f t="shared" si="26"/>
      </c>
      <c r="N115" s="47">
        <f>IF(OR(fundtype3_above=2,fundtype3_above=3),L$84/dos3_total_above,"")</f>
      </c>
    </row>
    <row r="116" spans="2:14" ht="12.75" hidden="1">
      <c r="B116" s="22"/>
      <c r="C116" s="22"/>
      <c r="D116" s="22"/>
      <c r="E116" s="22"/>
      <c r="F116" s="22"/>
      <c r="G116" s="22"/>
      <c r="H116" s="27">
        <v>3</v>
      </c>
      <c r="I116" s="16">
        <f>IF($K116="","",acct3_above)</f>
      </c>
      <c r="J116" s="16">
        <f>IF($K116="","",dos_4_above)</f>
      </c>
      <c r="K116" s="46">
        <f>IF(M$47&gt;0.01,M$47,"")</f>
      </c>
      <c r="L116" s="16">
        <f t="shared" si="25"/>
      </c>
      <c r="M116" s="47">
        <f t="shared" si="26"/>
      </c>
      <c r="N116" s="47">
        <f>IF(OR(fundtype3_above=2,fundtype3_above=3),M$84/dos4_total_above,"")</f>
      </c>
    </row>
    <row r="117" spans="2:14" ht="12.75" hidden="1">
      <c r="B117" s="22"/>
      <c r="C117" s="22"/>
      <c r="D117" s="22"/>
      <c r="E117" s="22"/>
      <c r="F117" s="22"/>
      <c r="G117" s="22"/>
      <c r="H117" s="27">
        <v>4</v>
      </c>
      <c r="I117" s="16">
        <f>IF($K117="","",acct4_above)</f>
      </c>
      <c r="J117" s="16">
        <f>IF($K117="","",dos_1_above)</f>
      </c>
      <c r="K117" s="46">
        <f>IF(J$48&gt;0.01,J$48,"")</f>
      </c>
      <c r="L117" s="16">
        <f t="shared" si="25"/>
      </c>
      <c r="M117" s="47">
        <f t="shared" si="26"/>
      </c>
      <c r="N117" s="47">
        <f>IF(OR(fundtype4_above=2,fundtype4_above=3),J$85/dos1_total_above,"")</f>
      </c>
    </row>
    <row r="118" spans="2:14" ht="12.75" hidden="1">
      <c r="B118" s="22"/>
      <c r="C118" s="22"/>
      <c r="D118" s="22"/>
      <c r="E118" s="22"/>
      <c r="F118" s="22"/>
      <c r="G118" s="22"/>
      <c r="H118" s="27">
        <v>4</v>
      </c>
      <c r="I118" s="16">
        <f>IF($K118="","",acct4_above)</f>
      </c>
      <c r="J118" s="16">
        <f>IF($K118="","",dos_2_above)</f>
      </c>
      <c r="K118" s="46">
        <f>IF(K$48&gt;0.01,K$48,"")</f>
      </c>
      <c r="L118" s="16">
        <f aca="true" t="shared" si="27" ref="L118:L140">IF(K118="","",(SUMIF($J$105:$J$140,J118,$K$105:$K$140)))</f>
      </c>
      <c r="M118" s="47">
        <f t="shared" si="26"/>
      </c>
      <c r="N118" s="47">
        <f>IF(OR(fundtype4_above=2,fundtype4_above=3),K$85/dos2_total_above,"")</f>
      </c>
    </row>
    <row r="119" spans="2:14" ht="12.75" hidden="1">
      <c r="B119" s="22"/>
      <c r="C119" s="22"/>
      <c r="D119" s="22"/>
      <c r="E119" s="22"/>
      <c r="F119" s="22"/>
      <c r="G119" s="22"/>
      <c r="H119" s="27">
        <v>4</v>
      </c>
      <c r="I119" s="16">
        <f>IF($K119="","",acct4_above)</f>
      </c>
      <c r="J119" s="16">
        <f>IF($K119="","",dos_3_above)</f>
      </c>
      <c r="K119" s="46">
        <f>IF(L$48&gt;0.01,L$48,"")</f>
      </c>
      <c r="L119" s="16">
        <f t="shared" si="27"/>
      </c>
      <c r="M119" s="47">
        <f t="shared" si="26"/>
      </c>
      <c r="N119" s="47">
        <f>IF(OR(fundtype4_above=2,fundtype4_above=3),L$85/dos3_total_above,"")</f>
      </c>
    </row>
    <row r="120" spans="2:14" ht="12.75" hidden="1">
      <c r="B120" s="22"/>
      <c r="C120" s="22"/>
      <c r="D120" s="22"/>
      <c r="E120" s="22"/>
      <c r="F120" s="22"/>
      <c r="G120" s="22"/>
      <c r="H120" s="27">
        <v>4</v>
      </c>
      <c r="I120" s="16">
        <f>IF($K120="","",acct4_above)</f>
      </c>
      <c r="J120" s="16">
        <f>IF($K120="","",dos_4_above)</f>
      </c>
      <c r="K120" s="46">
        <f>IF(M$48&gt;0.01,M$48,"")</f>
      </c>
      <c r="L120" s="16">
        <f t="shared" si="27"/>
      </c>
      <c r="M120" s="47">
        <f t="shared" si="26"/>
      </c>
      <c r="N120" s="47">
        <f>IF(OR(fundtype4_above=2,fundtype4_above=3),M$85/dos4_total_above,"")</f>
      </c>
    </row>
    <row r="121" spans="2:14" ht="12.75" hidden="1">
      <c r="B121" s="22"/>
      <c r="C121" s="22"/>
      <c r="D121" s="22"/>
      <c r="E121" s="22"/>
      <c r="F121" s="22"/>
      <c r="G121" s="22"/>
      <c r="H121" s="27">
        <v>5</v>
      </c>
      <c r="I121" s="16">
        <f>IF($K121="","",acct5_above)</f>
      </c>
      <c r="J121" s="16">
        <f>IF($K121="","",dos_1_above)</f>
      </c>
      <c r="K121" s="46">
        <f>IF(J$49&gt;0.01,J$49,"")</f>
      </c>
      <c r="L121" s="16">
        <f t="shared" si="27"/>
      </c>
      <c r="M121" s="47">
        <f t="shared" si="26"/>
      </c>
      <c r="N121" s="47">
        <f>IF(OR(fundtype5_above=2,fundtype5_above=3),J$86/dos1_total_above,"")</f>
      </c>
    </row>
    <row r="122" spans="2:14" ht="12.75" hidden="1">
      <c r="B122" s="22"/>
      <c r="C122" s="22"/>
      <c r="D122" s="22"/>
      <c r="E122" s="22"/>
      <c r="F122" s="22"/>
      <c r="G122" s="22"/>
      <c r="H122" s="27">
        <v>5</v>
      </c>
      <c r="I122" s="16">
        <f>IF($K122="","",acct5_above)</f>
      </c>
      <c r="J122" s="16">
        <f>IF($K122="","",dos_2_above)</f>
      </c>
      <c r="K122" s="46">
        <f>IF(K$49&gt;0.01,K$49,"")</f>
      </c>
      <c r="L122" s="16">
        <f t="shared" si="27"/>
      </c>
      <c r="M122" s="47">
        <f t="shared" si="26"/>
      </c>
      <c r="N122" s="47">
        <f>IF(OR(fundtype5_above=2,fundtype5_above=3),K$86/dos2_total_above,"")</f>
      </c>
    </row>
    <row r="123" spans="2:14" ht="12.75" hidden="1">
      <c r="B123" s="22"/>
      <c r="C123" s="22"/>
      <c r="D123" s="22"/>
      <c r="E123" s="22"/>
      <c r="F123" s="22"/>
      <c r="G123" s="22"/>
      <c r="H123" s="27">
        <v>5</v>
      </c>
      <c r="I123" s="16">
        <f>IF($K123="","",acct5_above)</f>
      </c>
      <c r="J123" s="16">
        <f>IF($K123="","",dos_3_above)</f>
      </c>
      <c r="K123" s="46">
        <f>IF(L$49&gt;0.01,L$49,"")</f>
      </c>
      <c r="L123" s="16">
        <f t="shared" si="27"/>
      </c>
      <c r="M123" s="47">
        <f t="shared" si="26"/>
      </c>
      <c r="N123" s="47">
        <f>IF(OR(fundtype5_above=2,fundtype5_above=3),L$86/dos3_total_above,"")</f>
      </c>
    </row>
    <row r="124" spans="2:14" ht="12.75" hidden="1">
      <c r="B124" s="22"/>
      <c r="C124" s="22"/>
      <c r="D124" s="22"/>
      <c r="E124" s="22"/>
      <c r="F124" s="22"/>
      <c r="G124" s="22"/>
      <c r="H124" s="27">
        <v>5</v>
      </c>
      <c r="I124" s="16">
        <f>IF($K124="","",acct5_above)</f>
      </c>
      <c r="J124" s="16">
        <f>IF($K124="","",dos_4_above)</f>
      </c>
      <c r="K124" s="46">
        <f>IF(M$49&gt;0.01,M$49,"")</f>
      </c>
      <c r="L124" s="16">
        <f t="shared" si="27"/>
      </c>
      <c r="M124" s="47">
        <f t="shared" si="26"/>
      </c>
      <c r="N124" s="47">
        <f>IF(OR(fundtype5_above=2,fundtype5_above=3),M$86/dos4_total_above,"")</f>
      </c>
    </row>
    <row r="125" spans="2:14" ht="12.75" hidden="1">
      <c r="B125" s="22"/>
      <c r="C125" s="22"/>
      <c r="D125" s="22"/>
      <c r="E125" s="22"/>
      <c r="F125" s="22"/>
      <c r="G125" s="22"/>
      <c r="H125" s="27">
        <v>6</v>
      </c>
      <c r="I125" s="16">
        <f>IF($K125="","",acct6_above)</f>
      </c>
      <c r="J125" s="16">
        <f>IF($K125="","",dos_1_above)</f>
      </c>
      <c r="K125" s="46">
        <f>IF(J$50&gt;0.01,J$50,"")</f>
      </c>
      <c r="L125" s="16">
        <f t="shared" si="27"/>
      </c>
      <c r="M125" s="47">
        <f t="shared" si="26"/>
      </c>
      <c r="N125" s="47">
        <f>IF(OR(fundtype6_above=2,fundtype6_above=3),J$87/dos1_total_above,"")</f>
      </c>
    </row>
    <row r="126" spans="2:14" ht="12.75" hidden="1">
      <c r="B126" s="22"/>
      <c r="C126" s="22"/>
      <c r="D126" s="22"/>
      <c r="E126" s="22"/>
      <c r="F126" s="22"/>
      <c r="G126" s="22"/>
      <c r="H126" s="27">
        <v>6</v>
      </c>
      <c r="I126" s="16">
        <f>IF($K126="","",acct6_above)</f>
      </c>
      <c r="J126" s="16">
        <f>IF($K126="","",dos_2_above)</f>
      </c>
      <c r="K126" s="46">
        <f>IF(K$50&gt;0.01,K$50,"")</f>
      </c>
      <c r="L126" s="16">
        <f t="shared" si="27"/>
      </c>
      <c r="M126" s="47">
        <f t="shared" si="26"/>
      </c>
      <c r="N126" s="47">
        <f>IF(OR(fundtype6_above=2,fundtype6_above=3),K$87/dos2_total_above,"")</f>
      </c>
    </row>
    <row r="127" spans="2:14" ht="12.75" hidden="1">
      <c r="B127" s="22"/>
      <c r="C127" s="22"/>
      <c r="D127" s="22"/>
      <c r="E127" s="22"/>
      <c r="F127" s="22"/>
      <c r="G127" s="22"/>
      <c r="H127" s="27">
        <v>6</v>
      </c>
      <c r="I127" s="16">
        <f>IF($K127="","",acct6_above)</f>
      </c>
      <c r="J127" s="16">
        <f>IF($K127="","",dos_3_above)</f>
      </c>
      <c r="K127" s="46">
        <f>IF(L$50&gt;0.01,L$50,"")</f>
      </c>
      <c r="L127" s="16">
        <f t="shared" si="27"/>
      </c>
      <c r="M127" s="47">
        <f t="shared" si="26"/>
      </c>
      <c r="N127" s="47">
        <f>IF(OR(fundtype6_above=2,fundtype6_above=3),L$87/dos3_total_above,"")</f>
      </c>
    </row>
    <row r="128" spans="2:14" ht="12.75" hidden="1">
      <c r="B128" s="22"/>
      <c r="C128" s="22"/>
      <c r="D128" s="22"/>
      <c r="E128" s="22"/>
      <c r="F128" s="22"/>
      <c r="G128" s="22"/>
      <c r="H128" s="27">
        <v>6</v>
      </c>
      <c r="I128" s="16">
        <f>IF($K128="","",acct6_above)</f>
      </c>
      <c r="J128" s="16">
        <f>IF($K128="","",dos_4_above)</f>
      </c>
      <c r="K128" s="46">
        <f>IF(M$50&gt;0.01,M$50,"")</f>
      </c>
      <c r="L128" s="16">
        <f t="shared" si="27"/>
      </c>
      <c r="M128" s="47">
        <f t="shared" si="26"/>
      </c>
      <c r="N128" s="47">
        <f>IF(OR(fundtype6_above=2,fundtype6_above=3),M$87/dos4_total_above,"")</f>
      </c>
    </row>
    <row r="129" spans="2:14" ht="12.75" hidden="1">
      <c r="B129" s="22"/>
      <c r="C129" s="22"/>
      <c r="D129" s="22"/>
      <c r="E129" s="22"/>
      <c r="F129" s="22"/>
      <c r="G129" s="22"/>
      <c r="H129" s="27">
        <v>7</v>
      </c>
      <c r="I129" s="16">
        <f>IF($K129="","",acct7_above)</f>
      </c>
      <c r="J129" s="16">
        <f>IF($K129="","",dos_1_above)</f>
      </c>
      <c r="K129" s="46">
        <f>IF(J$51&gt;0.01,J$51,"")</f>
      </c>
      <c r="L129" s="16">
        <f t="shared" si="27"/>
      </c>
      <c r="M129" s="47">
        <f t="shared" si="26"/>
      </c>
      <c r="N129" s="47">
        <f>IF(OR(fundtype7_above=2,fundtype7_above=3),J$88/dos1_total_above,"")</f>
      </c>
    </row>
    <row r="130" spans="2:14" ht="12.75" hidden="1">
      <c r="B130" s="22"/>
      <c r="C130" s="22"/>
      <c r="D130" s="22"/>
      <c r="E130" s="22"/>
      <c r="F130" s="22"/>
      <c r="G130" s="22"/>
      <c r="H130" s="27">
        <v>7</v>
      </c>
      <c r="I130" s="16">
        <f>IF($K130="","",acct7_above)</f>
      </c>
      <c r="J130" s="16">
        <f>IF($K130="","",dos_2_above)</f>
      </c>
      <c r="K130" s="46">
        <f>IF(K$51&gt;0.01,K$51,"")</f>
      </c>
      <c r="L130" s="16">
        <f t="shared" si="27"/>
      </c>
      <c r="M130" s="47">
        <f t="shared" si="26"/>
      </c>
      <c r="N130" s="47">
        <f>IF(OR(fundtype7_above=2,fundtype7_above=3),K$88/dos2_total_above,"")</f>
      </c>
    </row>
    <row r="131" spans="2:14" ht="12.75" hidden="1">
      <c r="B131" s="22"/>
      <c r="C131" s="22"/>
      <c r="D131" s="22"/>
      <c r="E131" s="22"/>
      <c r="F131" s="22"/>
      <c r="G131" s="22"/>
      <c r="H131" s="27">
        <v>7</v>
      </c>
      <c r="I131" s="16">
        <f>IF($K131="","",acct7_above)</f>
      </c>
      <c r="J131" s="16">
        <f>IF($K131="","",dos_3_above)</f>
      </c>
      <c r="K131" s="46">
        <f>IF(L$51&gt;0.01,L$51,"")</f>
      </c>
      <c r="L131" s="16">
        <f t="shared" si="27"/>
      </c>
      <c r="M131" s="47">
        <f t="shared" si="26"/>
      </c>
      <c r="N131" s="47">
        <f>IF(OR(fundtype7_above=2,fundtype7_above=3),L$88/dos3_total_above,"")</f>
      </c>
    </row>
    <row r="132" spans="2:14" ht="12.75" hidden="1">
      <c r="B132" s="22"/>
      <c r="C132" s="22"/>
      <c r="D132" s="22"/>
      <c r="E132" s="22"/>
      <c r="F132" s="22"/>
      <c r="G132" s="22"/>
      <c r="H132" s="27">
        <v>7</v>
      </c>
      <c r="I132" s="16">
        <f>IF($K132="","",acct7_above)</f>
      </c>
      <c r="J132" s="16">
        <f>IF($K132="","",dos_4_above)</f>
      </c>
      <c r="K132" s="46">
        <f>IF(M$51&gt;0.01,M$51,"")</f>
      </c>
      <c r="L132" s="16">
        <f t="shared" si="27"/>
      </c>
      <c r="M132" s="47">
        <f t="shared" si="26"/>
      </c>
      <c r="N132" s="47">
        <f>IF(OR(fundtype7_above=2,fundtype7_above=3),M$88/dos4_total_above,"")</f>
      </c>
    </row>
    <row r="133" spans="2:14" ht="12.75" hidden="1">
      <c r="B133" s="22"/>
      <c r="C133" s="22"/>
      <c r="D133" s="22"/>
      <c r="E133" s="22"/>
      <c r="F133" s="22"/>
      <c r="G133" s="22"/>
      <c r="H133" s="27">
        <v>8</v>
      </c>
      <c r="I133" s="16">
        <f>IF($K133="","",acct8_above)</f>
      </c>
      <c r="J133" s="16">
        <f>IF($K133="","",dos_1_above)</f>
      </c>
      <c r="K133" s="46">
        <f>IF(J$52&gt;0.01,J$52,"")</f>
      </c>
      <c r="L133" s="16">
        <f t="shared" si="27"/>
      </c>
      <c r="M133" s="47">
        <f t="shared" si="26"/>
      </c>
      <c r="N133" s="47">
        <f>IF(OR(fundtype8_above=2,fundtype8_above=3),J$89/dos1_total_above,"")</f>
      </c>
    </row>
    <row r="134" spans="2:14" ht="12.75" hidden="1">
      <c r="B134" s="22"/>
      <c r="C134" s="22"/>
      <c r="D134" s="22"/>
      <c r="E134" s="22"/>
      <c r="F134" s="22"/>
      <c r="G134" s="22"/>
      <c r="H134" s="27">
        <v>8</v>
      </c>
      <c r="I134" s="16">
        <f>IF($K134="","",acct8_above)</f>
      </c>
      <c r="J134" s="16">
        <f>IF($K134="","",dos_2_above)</f>
      </c>
      <c r="K134" s="46">
        <f>IF(K$52&gt;0.01,K$52,"")</f>
      </c>
      <c r="L134" s="16">
        <f t="shared" si="27"/>
      </c>
      <c r="M134" s="47">
        <f t="shared" si="26"/>
      </c>
      <c r="N134" s="47">
        <f>IF(OR(fundtype8_above=2,fundtype8_above=3),K$89/dos2_total_above,"")</f>
      </c>
    </row>
    <row r="135" spans="2:14" ht="12.75" hidden="1">
      <c r="B135" s="22"/>
      <c r="C135" s="22"/>
      <c r="D135" s="22"/>
      <c r="E135" s="22"/>
      <c r="F135" s="22"/>
      <c r="G135" s="22"/>
      <c r="H135" s="27">
        <v>8</v>
      </c>
      <c r="I135" s="16">
        <f>IF($K135="","",acct8_above)</f>
      </c>
      <c r="J135" s="16">
        <f>IF($K135="","",dos_3_above)</f>
      </c>
      <c r="K135" s="46">
        <f>IF(L$52&gt;0.01,L$52,"")</f>
      </c>
      <c r="L135" s="16">
        <f t="shared" si="27"/>
      </c>
      <c r="M135" s="47">
        <f t="shared" si="26"/>
      </c>
      <c r="N135" s="47">
        <f>IF(OR(fundtype8_above=2,fundtype8_above=3),L$89/dos3_total_above,"")</f>
      </c>
    </row>
    <row r="136" spans="2:14" ht="12.75" hidden="1">
      <c r="B136" s="22"/>
      <c r="C136" s="22"/>
      <c r="D136" s="22"/>
      <c r="E136" s="22"/>
      <c r="F136" s="22"/>
      <c r="G136" s="22"/>
      <c r="H136" s="27">
        <v>8</v>
      </c>
      <c r="I136" s="16">
        <f>IF($K136="","",acct8_above)</f>
      </c>
      <c r="J136" s="16">
        <f>IF($K136="","",dos_4_above)</f>
      </c>
      <c r="K136" s="46">
        <f>IF(M$52&gt;0.01,M$52,"")</f>
      </c>
      <c r="L136" s="16">
        <f t="shared" si="27"/>
      </c>
      <c r="M136" s="47">
        <f t="shared" si="26"/>
      </c>
      <c r="N136" s="47">
        <f>IF(OR(fundtype8_above=2,fundtype8_above=3),M$89/dos4_total_above,"")</f>
      </c>
    </row>
    <row r="137" spans="2:14" ht="12.75" hidden="1">
      <c r="B137" s="22"/>
      <c r="C137" s="22"/>
      <c r="D137" s="22"/>
      <c r="E137" s="22"/>
      <c r="F137" s="22"/>
      <c r="G137" s="22"/>
      <c r="H137" s="27">
        <v>9</v>
      </c>
      <c r="I137" s="16">
        <f>IF($K137="","",acct9_above)</f>
      </c>
      <c r="J137" s="16">
        <f>IF($K137="","",dos_1_above)</f>
      </c>
      <c r="K137" s="46">
        <f>IF(J$53&gt;0.01,J$53,"")</f>
      </c>
      <c r="L137" s="16">
        <f t="shared" si="27"/>
      </c>
      <c r="M137" s="47">
        <f t="shared" si="26"/>
      </c>
      <c r="N137" s="47">
        <f>IF(OR(fundtype9_above=2,fundtype9_above=3),J$89/dos1_total_above,"")</f>
      </c>
    </row>
    <row r="138" spans="2:14" ht="12.75" hidden="1">
      <c r="B138" s="22"/>
      <c r="C138" s="22"/>
      <c r="D138" s="22"/>
      <c r="E138" s="22"/>
      <c r="F138" s="22"/>
      <c r="G138" s="22"/>
      <c r="H138" s="27">
        <v>9</v>
      </c>
      <c r="I138" s="16">
        <f>IF($K138="","",acct9_above)</f>
      </c>
      <c r="J138" s="16">
        <f>IF($K138="","",dos_2_above)</f>
      </c>
      <c r="K138" s="46">
        <f>IF(K$53&gt;0.01,K$53,"")</f>
      </c>
      <c r="L138" s="16">
        <f t="shared" si="27"/>
      </c>
      <c r="M138" s="47">
        <f t="shared" si="26"/>
      </c>
      <c r="N138" s="47">
        <f>IF(OR(fundtype9_above=2,fundtype9_above=3),K$89/dos2_total_above,"")</f>
      </c>
    </row>
    <row r="139" spans="2:14" ht="12.75" hidden="1">
      <c r="B139" s="22"/>
      <c r="C139" s="22"/>
      <c r="D139" s="22"/>
      <c r="E139" s="22"/>
      <c r="F139" s="22"/>
      <c r="G139" s="22"/>
      <c r="H139" s="27">
        <v>9</v>
      </c>
      <c r="I139" s="16">
        <f>IF($K139="","",acct9_above)</f>
      </c>
      <c r="J139" s="16">
        <f>IF($K139="","",dos_3_above)</f>
      </c>
      <c r="K139" s="46">
        <f>IF(L$53&gt;0.01,L$53,"")</f>
      </c>
      <c r="L139" s="16">
        <f t="shared" si="27"/>
      </c>
      <c r="M139" s="47">
        <f t="shared" si="26"/>
      </c>
      <c r="N139" s="47">
        <f>IF(OR(fundtype9_above=2,fundtype9_above=3),L$89/dos3_total_above,"")</f>
      </c>
    </row>
    <row r="140" spans="2:14" ht="12.75" hidden="1">
      <c r="B140" s="22"/>
      <c r="C140" s="22"/>
      <c r="D140" s="22"/>
      <c r="E140" s="22"/>
      <c r="F140" s="22"/>
      <c r="G140" s="22"/>
      <c r="H140" s="27">
        <v>9</v>
      </c>
      <c r="I140" s="16">
        <f>IF($K140="","",acct9_above)</f>
      </c>
      <c r="J140" s="16">
        <f>IF($K140="","",dos_4_above)</f>
      </c>
      <c r="K140" s="46">
        <f>IF(M$53&gt;0.01,M$53,"")</f>
      </c>
      <c r="L140" s="16">
        <f t="shared" si="27"/>
      </c>
      <c r="M140" s="47">
        <f t="shared" si="26"/>
      </c>
      <c r="N140" s="47">
        <f>IF(OR(fundtype9_above=2,fundtype9_above=3),M$89/dos4_total_above,"")</f>
      </c>
    </row>
    <row r="141" spans="2:9" ht="12.75" hidden="1">
      <c r="B141" s="22"/>
      <c r="C141" s="22"/>
      <c r="D141" s="22"/>
      <c r="E141" s="22"/>
      <c r="F141" s="22"/>
      <c r="G141" s="22"/>
      <c r="H141" s="22"/>
      <c r="I141" s="22"/>
    </row>
    <row r="142" spans="2:9" ht="12.75" hidden="1">
      <c r="B142" s="22"/>
      <c r="C142" s="22"/>
      <c r="D142" s="22"/>
      <c r="E142" s="22"/>
      <c r="F142" s="22"/>
      <c r="G142" s="22"/>
      <c r="H142" s="22"/>
      <c r="I142" s="22"/>
    </row>
    <row r="143" spans="2:9" ht="12.75" hidden="1">
      <c r="B143" s="22"/>
      <c r="C143" s="22"/>
      <c r="D143" s="22"/>
      <c r="E143" s="22"/>
      <c r="F143" s="22"/>
      <c r="G143" s="22"/>
      <c r="H143" s="22"/>
      <c r="I143" s="22"/>
    </row>
    <row r="144" spans="2:9" ht="12.75" hidden="1">
      <c r="B144" s="22"/>
      <c r="C144" s="22"/>
      <c r="D144" s="22"/>
      <c r="E144" s="22"/>
      <c r="F144" s="22"/>
      <c r="G144" s="22"/>
      <c r="H144" s="22"/>
      <c r="I144" s="22"/>
    </row>
    <row r="145" spans="2:9" ht="12.75" hidden="1">
      <c r="B145" s="22"/>
      <c r="C145" s="22"/>
      <c r="D145" s="22"/>
      <c r="E145" s="22"/>
      <c r="F145" s="22"/>
      <c r="G145" s="22"/>
      <c r="H145" s="22"/>
      <c r="I145" s="22"/>
    </row>
    <row r="146" spans="2:9" ht="12.75" hidden="1">
      <c r="B146" s="22"/>
      <c r="C146" s="22"/>
      <c r="D146" s="22"/>
      <c r="E146" s="22"/>
      <c r="F146" s="22"/>
      <c r="G146" s="22"/>
      <c r="H146" s="22"/>
      <c r="I146" s="22"/>
    </row>
    <row r="147" spans="2:9" ht="12.75" hidden="1">
      <c r="B147" s="22"/>
      <c r="C147" s="22"/>
      <c r="D147" s="22"/>
      <c r="E147" s="22"/>
      <c r="F147" s="22"/>
      <c r="G147" s="22"/>
      <c r="H147" s="22"/>
      <c r="I147" s="22"/>
    </row>
    <row r="148" spans="2:9" ht="12.75" hidden="1">
      <c r="B148" s="22"/>
      <c r="C148" s="22"/>
      <c r="D148" s="22"/>
      <c r="E148" s="22"/>
      <c r="F148" s="22"/>
      <c r="G148" s="22"/>
      <c r="H148" s="22"/>
      <c r="I148" s="22"/>
    </row>
    <row r="149" spans="2:9" ht="12.75" hidden="1">
      <c r="B149" s="22"/>
      <c r="C149" s="22"/>
      <c r="D149" s="22"/>
      <c r="E149" s="22"/>
      <c r="F149" s="22"/>
      <c r="G149" s="22"/>
      <c r="H149" s="22"/>
      <c r="I149" s="22"/>
    </row>
    <row r="150" spans="2:9" ht="12.75" hidden="1">
      <c r="B150" s="22"/>
      <c r="C150" s="22"/>
      <c r="D150" s="22"/>
      <c r="E150" s="22"/>
      <c r="F150" s="22"/>
      <c r="G150" s="22"/>
      <c r="H150" s="22"/>
      <c r="I150" s="22"/>
    </row>
    <row r="151" spans="2:9" ht="12.75" hidden="1">
      <c r="B151" s="22"/>
      <c r="C151" s="22"/>
      <c r="D151" s="22"/>
      <c r="E151" s="22"/>
      <c r="F151" s="22"/>
      <c r="G151" s="22"/>
      <c r="H151" s="22"/>
      <c r="I151" s="22"/>
    </row>
    <row r="152" spans="2:9" ht="12.75" hidden="1">
      <c r="B152" s="22"/>
      <c r="C152" s="22"/>
      <c r="D152" s="22"/>
      <c r="E152" s="22"/>
      <c r="F152" s="22"/>
      <c r="G152" s="22"/>
      <c r="H152" s="22"/>
      <c r="I152" s="22"/>
    </row>
    <row r="153" spans="2:9" ht="12.75" hidden="1">
      <c r="B153" s="22"/>
      <c r="C153" s="22"/>
      <c r="D153" s="22"/>
      <c r="E153" s="22"/>
      <c r="F153" s="22"/>
      <c r="G153" s="22"/>
      <c r="H153" s="22"/>
      <c r="I153" s="22"/>
    </row>
    <row r="154" spans="2:9" ht="12.75" hidden="1">
      <c r="B154" s="22"/>
      <c r="C154" s="22"/>
      <c r="D154" s="22"/>
      <c r="E154" s="22"/>
      <c r="F154" s="22"/>
      <c r="G154" s="22"/>
      <c r="H154" s="22"/>
      <c r="I154" s="22"/>
    </row>
    <row r="155" spans="2:9" ht="12.75" hidden="1">
      <c r="B155" s="22"/>
      <c r="C155" s="22"/>
      <c r="D155" s="22"/>
      <c r="E155" s="22"/>
      <c r="F155" s="22"/>
      <c r="G155" s="22"/>
      <c r="H155" s="22"/>
      <c r="I155" s="22"/>
    </row>
    <row r="156" spans="2:9" ht="12.75" hidden="1">
      <c r="B156" s="22"/>
      <c r="C156" s="22"/>
      <c r="D156" s="22"/>
      <c r="E156" s="22"/>
      <c r="F156" s="22"/>
      <c r="G156" s="22"/>
      <c r="H156" s="22"/>
      <c r="I156" s="22"/>
    </row>
    <row r="157" spans="2:9" ht="12.75" hidden="1">
      <c r="B157" s="22"/>
      <c r="C157" s="22"/>
      <c r="D157" s="22"/>
      <c r="E157" s="22"/>
      <c r="F157" s="22"/>
      <c r="G157" s="22"/>
      <c r="H157" s="22"/>
      <c r="I157" s="22"/>
    </row>
    <row r="158" spans="2:9" ht="12.75" hidden="1">
      <c r="B158" s="22"/>
      <c r="C158" s="22"/>
      <c r="D158" s="22"/>
      <c r="E158" s="22"/>
      <c r="F158" s="22"/>
      <c r="G158" s="22"/>
      <c r="H158" s="22"/>
      <c r="I158" s="22"/>
    </row>
    <row r="159" spans="2:9" ht="12.75" hidden="1">
      <c r="B159" s="22"/>
      <c r="C159" s="22"/>
      <c r="D159" s="22"/>
      <c r="E159" s="22"/>
      <c r="F159" s="22"/>
      <c r="G159" s="22"/>
      <c r="H159" s="22"/>
      <c r="I159" s="22"/>
    </row>
    <row r="160" spans="2:9" ht="12.75" hidden="1">
      <c r="B160" s="22"/>
      <c r="C160" s="22"/>
      <c r="D160" s="22"/>
      <c r="E160" s="22"/>
      <c r="F160" s="22"/>
      <c r="G160" s="22"/>
      <c r="H160" s="22"/>
      <c r="I160" s="22"/>
    </row>
    <row r="161" spans="2:9" ht="12.75" hidden="1">
      <c r="B161" s="22"/>
      <c r="C161" s="22"/>
      <c r="D161" s="22"/>
      <c r="E161" s="22"/>
      <c r="F161" s="22"/>
      <c r="G161" s="22"/>
      <c r="H161" s="22"/>
      <c r="I161" s="22"/>
    </row>
    <row r="162" spans="2:9" ht="12.75" hidden="1">
      <c r="B162" s="22"/>
      <c r="C162" s="22"/>
      <c r="D162" s="22"/>
      <c r="E162" s="22"/>
      <c r="F162" s="22"/>
      <c r="G162" s="22"/>
      <c r="H162" s="22"/>
      <c r="I162" s="22"/>
    </row>
    <row r="163" spans="2:9" ht="12.75" hidden="1">
      <c r="B163" s="22"/>
      <c r="C163" s="22"/>
      <c r="D163" s="22"/>
      <c r="E163" s="22"/>
      <c r="F163" s="22"/>
      <c r="G163" s="22"/>
      <c r="H163" s="22"/>
      <c r="I163" s="22"/>
    </row>
    <row r="164" spans="2:9" ht="12.75" hidden="1">
      <c r="B164" s="22"/>
      <c r="C164" s="22"/>
      <c r="D164" s="22"/>
      <c r="E164" s="22"/>
      <c r="F164" s="22"/>
      <c r="G164" s="22"/>
      <c r="H164" s="22"/>
      <c r="I164" s="22"/>
    </row>
    <row r="165" spans="2:9" ht="12.75" hidden="1">
      <c r="B165" s="22"/>
      <c r="C165" s="22"/>
      <c r="D165" s="22"/>
      <c r="E165" s="22"/>
      <c r="F165" s="22"/>
      <c r="G165" s="22"/>
      <c r="H165" s="22"/>
      <c r="I165" s="22"/>
    </row>
    <row r="166" spans="2:9" ht="12.75" hidden="1">
      <c r="B166" s="22"/>
      <c r="C166" s="22"/>
      <c r="D166" s="22"/>
      <c r="E166" s="22"/>
      <c r="F166" s="22"/>
      <c r="G166" s="22"/>
      <c r="H166" s="22"/>
      <c r="I166" s="22"/>
    </row>
    <row r="167" spans="2:9" ht="12.75" hidden="1">
      <c r="B167" s="22"/>
      <c r="C167" s="22"/>
      <c r="D167" s="22"/>
      <c r="E167" s="22"/>
      <c r="F167" s="22"/>
      <c r="G167" s="22"/>
      <c r="H167" s="22"/>
      <c r="I167" s="22"/>
    </row>
    <row r="168" spans="2:9" ht="12.75" hidden="1">
      <c r="B168" s="22"/>
      <c r="C168" s="22"/>
      <c r="D168" s="22"/>
      <c r="E168" s="22"/>
      <c r="F168" s="22"/>
      <c r="G168" s="22"/>
      <c r="H168" s="22"/>
      <c r="I168" s="22"/>
    </row>
    <row r="169" spans="2:9" ht="12.75" hidden="1">
      <c r="B169" s="22"/>
      <c r="C169" s="22"/>
      <c r="D169" s="22"/>
      <c r="E169" s="22"/>
      <c r="F169" s="22"/>
      <c r="G169" s="22"/>
      <c r="H169" s="22"/>
      <c r="I169" s="22"/>
    </row>
    <row r="170" spans="2:9" ht="12.75" hidden="1">
      <c r="B170" s="22"/>
      <c r="C170" s="22"/>
      <c r="D170" s="22"/>
      <c r="E170" s="22"/>
      <c r="F170" s="22"/>
      <c r="G170" s="22"/>
      <c r="H170" s="22"/>
      <c r="I170" s="22"/>
    </row>
    <row r="171" spans="2:9" ht="12.75" hidden="1">
      <c r="B171" s="22"/>
      <c r="C171" s="22"/>
      <c r="D171" s="22"/>
      <c r="E171" s="22"/>
      <c r="F171" s="22"/>
      <c r="G171" s="22"/>
      <c r="H171" s="22"/>
      <c r="I171" s="22"/>
    </row>
    <row r="172" spans="2:9" ht="12.75" hidden="1">
      <c r="B172" s="22"/>
      <c r="C172" s="22"/>
      <c r="D172" s="22"/>
      <c r="E172" s="22"/>
      <c r="F172" s="22"/>
      <c r="G172" s="22"/>
      <c r="H172" s="22"/>
      <c r="I172" s="22"/>
    </row>
    <row r="173" spans="2:9" ht="12.75" hidden="1">
      <c r="B173" s="22"/>
      <c r="C173" s="22"/>
      <c r="D173" s="22"/>
      <c r="E173" s="22"/>
      <c r="F173" s="22"/>
      <c r="G173" s="22"/>
      <c r="H173" s="22"/>
      <c r="I173" s="22"/>
    </row>
    <row r="174" spans="2:9" ht="12.75" hidden="1">
      <c r="B174" s="22"/>
      <c r="C174" s="22"/>
      <c r="D174" s="22"/>
      <c r="E174" s="22"/>
      <c r="F174" s="22"/>
      <c r="G174" s="22"/>
      <c r="H174" s="22"/>
      <c r="I174" s="22"/>
    </row>
    <row r="175" spans="2:9" ht="12.75" hidden="1">
      <c r="B175" s="22"/>
      <c r="C175" s="22"/>
      <c r="D175" s="22"/>
      <c r="E175" s="22"/>
      <c r="F175" s="22"/>
      <c r="G175" s="22"/>
      <c r="H175" s="22"/>
      <c r="I175" s="22"/>
    </row>
    <row r="176" spans="2:9" ht="12.75" hidden="1">
      <c r="B176" s="22"/>
      <c r="C176" s="22"/>
      <c r="D176" s="22"/>
      <c r="E176" s="22"/>
      <c r="F176" s="22"/>
      <c r="G176" s="22"/>
      <c r="H176" s="22"/>
      <c r="I176" s="22"/>
    </row>
    <row r="177" spans="2:9" ht="12.75" hidden="1">
      <c r="B177" s="22"/>
      <c r="C177" s="22"/>
      <c r="D177" s="22"/>
      <c r="E177" s="22"/>
      <c r="F177" s="22"/>
      <c r="G177" s="22"/>
      <c r="H177" s="22"/>
      <c r="I177" s="22"/>
    </row>
    <row r="178" spans="2:9" ht="12.75" hidden="1">
      <c r="B178" s="22"/>
      <c r="C178" s="22"/>
      <c r="D178" s="22"/>
      <c r="E178" s="22"/>
      <c r="F178" s="22"/>
      <c r="G178" s="22"/>
      <c r="H178" s="22"/>
      <c r="I178" s="22"/>
    </row>
    <row r="179" spans="2:9" ht="12.75" hidden="1">
      <c r="B179" s="22"/>
      <c r="C179" s="22"/>
      <c r="D179" s="22"/>
      <c r="E179" s="22"/>
      <c r="F179" s="22"/>
      <c r="G179" s="22"/>
      <c r="H179" s="22"/>
      <c r="I179" s="22"/>
    </row>
    <row r="180" spans="2:9" ht="12.75" hidden="1">
      <c r="B180" s="22"/>
      <c r="C180" s="22"/>
      <c r="D180" s="22"/>
      <c r="E180" s="22"/>
      <c r="F180" s="22"/>
      <c r="G180" s="22"/>
      <c r="H180" s="22"/>
      <c r="I180" s="22"/>
    </row>
    <row r="181" spans="2:9" ht="12.75" hidden="1">
      <c r="B181" s="22"/>
      <c r="C181" s="22"/>
      <c r="D181" s="22"/>
      <c r="E181" s="22"/>
      <c r="F181" s="22"/>
      <c r="G181" s="22"/>
      <c r="H181" s="22"/>
      <c r="I181" s="22"/>
    </row>
    <row r="182" spans="2:9" ht="12.75" hidden="1">
      <c r="B182" s="22"/>
      <c r="C182" s="22"/>
      <c r="D182" s="22"/>
      <c r="E182" s="22"/>
      <c r="F182" s="22"/>
      <c r="G182" s="22"/>
      <c r="H182" s="22"/>
      <c r="I182" s="22"/>
    </row>
    <row r="183" spans="2:9" ht="12.75" hidden="1">
      <c r="B183" s="22"/>
      <c r="C183" s="22"/>
      <c r="D183" s="22"/>
      <c r="E183" s="22"/>
      <c r="F183" s="22"/>
      <c r="G183" s="22"/>
      <c r="H183" s="22"/>
      <c r="I183" s="22"/>
    </row>
    <row r="184" spans="2:9" ht="12.75" hidden="1">
      <c r="B184" s="22"/>
      <c r="C184" s="22"/>
      <c r="D184" s="22"/>
      <c r="E184" s="22"/>
      <c r="F184" s="22"/>
      <c r="G184" s="22"/>
      <c r="H184" s="22"/>
      <c r="I184" s="22"/>
    </row>
    <row r="185" spans="2:9" ht="12.75" hidden="1">
      <c r="B185" s="22"/>
      <c r="C185" s="22"/>
      <c r="D185" s="22"/>
      <c r="E185" s="22"/>
      <c r="F185" s="22"/>
      <c r="G185" s="22"/>
      <c r="H185" s="22"/>
      <c r="I185" s="22"/>
    </row>
    <row r="186" spans="2:9" ht="12.75" hidden="1">
      <c r="B186" s="22"/>
      <c r="C186" s="22"/>
      <c r="D186" s="22"/>
      <c r="E186" s="22"/>
      <c r="F186" s="22"/>
      <c r="G186" s="22"/>
      <c r="H186" s="22"/>
      <c r="I186" s="22"/>
    </row>
    <row r="187" spans="2:9" ht="12.75" hidden="1">
      <c r="B187" s="22"/>
      <c r="C187" s="22"/>
      <c r="D187" s="22"/>
      <c r="E187" s="22"/>
      <c r="F187" s="22"/>
      <c r="G187" s="22"/>
      <c r="H187" s="22"/>
      <c r="I187" s="22"/>
    </row>
    <row r="188" spans="2:9" ht="12.75" hidden="1">
      <c r="B188" s="22"/>
      <c r="C188" s="22"/>
      <c r="D188" s="22"/>
      <c r="E188" s="22"/>
      <c r="F188" s="22"/>
      <c r="G188" s="22"/>
      <c r="H188" s="22"/>
      <c r="I188" s="22"/>
    </row>
    <row r="189" spans="2:9" ht="12.75" hidden="1">
      <c r="B189" s="22"/>
      <c r="C189" s="22"/>
      <c r="D189" s="22"/>
      <c r="E189" s="22"/>
      <c r="F189" s="22"/>
      <c r="G189" s="22"/>
      <c r="H189" s="22"/>
      <c r="I189" s="22"/>
    </row>
    <row r="190" spans="2:9" ht="12.75" hidden="1">
      <c r="B190" s="22"/>
      <c r="C190" s="22"/>
      <c r="D190" s="22"/>
      <c r="E190" s="22"/>
      <c r="F190" s="22"/>
      <c r="G190" s="22"/>
      <c r="H190" s="22"/>
      <c r="I190" s="22"/>
    </row>
    <row r="191" spans="2:9" ht="12.75" hidden="1">
      <c r="B191" s="22"/>
      <c r="C191" s="22"/>
      <c r="D191" s="22"/>
      <c r="E191" s="22"/>
      <c r="F191" s="22"/>
      <c r="G191" s="22"/>
      <c r="H191" s="22"/>
      <c r="I191" s="22"/>
    </row>
    <row r="192" spans="2:9" ht="12.75" hidden="1">
      <c r="B192" s="22"/>
      <c r="C192" s="22"/>
      <c r="D192" s="22"/>
      <c r="E192" s="22"/>
      <c r="F192" s="22"/>
      <c r="G192" s="22"/>
      <c r="H192" s="22"/>
      <c r="I192" s="22"/>
    </row>
    <row r="193" spans="2:9" ht="12.75" hidden="1">
      <c r="B193" s="22"/>
      <c r="C193" s="22"/>
      <c r="D193" s="22"/>
      <c r="E193" s="22"/>
      <c r="F193" s="22"/>
      <c r="G193" s="22"/>
      <c r="H193" s="22"/>
      <c r="I193" s="22"/>
    </row>
    <row r="194" spans="2:9" ht="12.75" hidden="1">
      <c r="B194" s="22"/>
      <c r="C194" s="22"/>
      <c r="D194" s="22"/>
      <c r="E194" s="22"/>
      <c r="F194" s="22"/>
      <c r="G194" s="22"/>
      <c r="H194" s="22"/>
      <c r="I194" s="22"/>
    </row>
    <row r="195" spans="2:9" ht="12.75" hidden="1">
      <c r="B195" s="22"/>
      <c r="C195" s="22"/>
      <c r="D195" s="22"/>
      <c r="E195" s="22"/>
      <c r="F195" s="22"/>
      <c r="G195" s="22"/>
      <c r="H195" s="22"/>
      <c r="I195" s="22"/>
    </row>
    <row r="196" spans="2:9" ht="12.75" hidden="1">
      <c r="B196" s="22"/>
      <c r="C196" s="22"/>
      <c r="D196" s="22"/>
      <c r="E196" s="22"/>
      <c r="F196" s="22"/>
      <c r="G196" s="22"/>
      <c r="H196" s="22"/>
      <c r="I196" s="22"/>
    </row>
    <row r="197" spans="2:9" ht="12.75" hidden="1">
      <c r="B197" s="22"/>
      <c r="C197" s="22"/>
      <c r="D197" s="22"/>
      <c r="E197" s="22"/>
      <c r="F197" s="22"/>
      <c r="G197" s="22"/>
      <c r="H197" s="22"/>
      <c r="I197" s="22"/>
    </row>
    <row r="198" spans="2:9" ht="12.75" hidden="1">
      <c r="B198" s="22"/>
      <c r="C198" s="22"/>
      <c r="D198" s="22"/>
      <c r="E198" s="22"/>
      <c r="F198" s="22"/>
      <c r="G198" s="22"/>
      <c r="H198" s="22"/>
      <c r="I198" s="22"/>
    </row>
    <row r="199" spans="2:9" ht="12.75" hidden="1">
      <c r="B199" s="22"/>
      <c r="C199" s="22"/>
      <c r="D199" s="22"/>
      <c r="E199" s="22"/>
      <c r="F199" s="22"/>
      <c r="G199" s="22"/>
      <c r="H199" s="22"/>
      <c r="I199" s="22"/>
    </row>
    <row r="200" spans="2:9" ht="12.75" hidden="1">
      <c r="B200" s="22"/>
      <c r="C200" s="22"/>
      <c r="D200" s="22"/>
      <c r="E200" s="22"/>
      <c r="F200" s="22"/>
      <c r="G200" s="22"/>
      <c r="H200" s="22"/>
      <c r="I200" s="22"/>
    </row>
    <row r="201" spans="2:9" ht="12.75" hidden="1">
      <c r="B201" s="22"/>
      <c r="C201" s="22"/>
      <c r="D201" s="22"/>
      <c r="E201" s="22"/>
      <c r="F201" s="22"/>
      <c r="G201" s="22"/>
      <c r="H201" s="22"/>
      <c r="I201" s="22"/>
    </row>
    <row r="202" spans="2:9" ht="12.75" hidden="1">
      <c r="B202" s="22"/>
      <c r="C202" s="22"/>
      <c r="D202" s="22"/>
      <c r="E202" s="22"/>
      <c r="F202" s="22"/>
      <c r="G202" s="22"/>
      <c r="H202" s="22"/>
      <c r="I202" s="22"/>
    </row>
    <row r="203" spans="2:9" ht="12.75" hidden="1">
      <c r="B203" s="22"/>
      <c r="C203" s="22"/>
      <c r="D203" s="22"/>
      <c r="E203" s="22"/>
      <c r="F203" s="22"/>
      <c r="G203" s="22"/>
      <c r="H203" s="22"/>
      <c r="I203" s="22"/>
    </row>
    <row r="204" spans="2:9" ht="12.75" hidden="1">
      <c r="B204" s="22"/>
      <c r="C204" s="22"/>
      <c r="D204" s="22"/>
      <c r="E204" s="22"/>
      <c r="F204" s="22"/>
      <c r="G204" s="22"/>
      <c r="H204" s="22"/>
      <c r="I204" s="22"/>
    </row>
    <row r="205" spans="2:9" ht="12.75" hidden="1">
      <c r="B205" s="22"/>
      <c r="C205" s="22"/>
      <c r="D205" s="22"/>
      <c r="E205" s="22"/>
      <c r="F205" s="22"/>
      <c r="G205" s="22"/>
      <c r="H205" s="22"/>
      <c r="I205" s="22"/>
    </row>
    <row r="206" spans="2:9" ht="12.75" hidden="1">
      <c r="B206" s="22"/>
      <c r="C206" s="22"/>
      <c r="D206" s="22"/>
      <c r="E206" s="22"/>
      <c r="F206" s="22"/>
      <c r="G206" s="22"/>
      <c r="H206" s="22"/>
      <c r="I206" s="22"/>
    </row>
    <row r="207" spans="2:9" ht="12.75" hidden="1">
      <c r="B207" s="22"/>
      <c r="C207" s="22"/>
      <c r="D207" s="22"/>
      <c r="E207" s="22"/>
      <c r="F207" s="22"/>
      <c r="G207" s="22"/>
      <c r="H207" s="22"/>
      <c r="I207" s="22"/>
    </row>
    <row r="208" spans="2:9" ht="12.75" hidden="1">
      <c r="B208" s="22"/>
      <c r="C208" s="22"/>
      <c r="D208" s="22"/>
      <c r="E208" s="22"/>
      <c r="F208" s="22"/>
      <c r="G208" s="22"/>
      <c r="H208" s="22"/>
      <c r="I208" s="22"/>
    </row>
    <row r="209" spans="2:9" ht="12.75" hidden="1">
      <c r="B209" s="22"/>
      <c r="C209" s="22"/>
      <c r="D209" s="22"/>
      <c r="E209" s="22"/>
      <c r="F209" s="22"/>
      <c r="G209" s="22"/>
      <c r="H209" s="22"/>
      <c r="I209" s="22"/>
    </row>
    <row r="210" spans="2:9" ht="12.75" hidden="1">
      <c r="B210" s="22"/>
      <c r="C210" s="22"/>
      <c r="D210" s="22"/>
      <c r="E210" s="22"/>
      <c r="F210" s="22"/>
      <c r="G210" s="22"/>
      <c r="H210" s="22"/>
      <c r="I210" s="22"/>
    </row>
    <row r="211" spans="2:9" ht="12.75" hidden="1">
      <c r="B211" s="22"/>
      <c r="C211" s="22"/>
      <c r="D211" s="22"/>
      <c r="E211" s="22"/>
      <c r="F211" s="22"/>
      <c r="G211" s="22"/>
      <c r="H211" s="22"/>
      <c r="I211" s="22"/>
    </row>
    <row r="212" spans="2:9" ht="12.75" hidden="1">
      <c r="B212" s="22"/>
      <c r="C212" s="22"/>
      <c r="D212" s="22"/>
      <c r="E212" s="22"/>
      <c r="F212" s="22"/>
      <c r="G212" s="22"/>
      <c r="H212" s="22"/>
      <c r="I212" s="22"/>
    </row>
    <row r="213" spans="2:9" ht="12.75" hidden="1">
      <c r="B213" s="22"/>
      <c r="C213" s="22"/>
      <c r="D213" s="22"/>
      <c r="E213" s="22"/>
      <c r="F213" s="22"/>
      <c r="G213" s="22"/>
      <c r="H213" s="22"/>
      <c r="I213" s="22"/>
    </row>
    <row r="214" spans="2:9" ht="12.75" hidden="1">
      <c r="B214" s="22"/>
      <c r="C214" s="22"/>
      <c r="D214" s="22"/>
      <c r="E214" s="22"/>
      <c r="F214" s="22"/>
      <c r="G214" s="22"/>
      <c r="H214" s="22"/>
      <c r="I214" s="22"/>
    </row>
    <row r="215" spans="2:9" ht="12.75" hidden="1">
      <c r="B215" s="22"/>
      <c r="C215" s="22"/>
      <c r="D215" s="22"/>
      <c r="E215" s="22"/>
      <c r="F215" s="22"/>
      <c r="G215" s="22"/>
      <c r="H215" s="22"/>
      <c r="I215" s="22"/>
    </row>
    <row r="216" spans="2:9" ht="12.75" hidden="1">
      <c r="B216" s="22"/>
      <c r="C216" s="22"/>
      <c r="D216" s="22"/>
      <c r="E216" s="22"/>
      <c r="F216" s="22"/>
      <c r="G216" s="22"/>
      <c r="H216" s="22"/>
      <c r="I216" s="22"/>
    </row>
    <row r="217" spans="2:9" ht="12.75" hidden="1">
      <c r="B217" s="22"/>
      <c r="C217" s="22"/>
      <c r="D217" s="22"/>
      <c r="E217" s="22"/>
      <c r="F217" s="22"/>
      <c r="G217" s="22"/>
      <c r="H217" s="22"/>
      <c r="I217" s="22"/>
    </row>
    <row r="218" spans="2:9" ht="12.75" hidden="1">
      <c r="B218" s="22"/>
      <c r="C218" s="22"/>
      <c r="D218" s="22"/>
      <c r="E218" s="22"/>
      <c r="F218" s="22"/>
      <c r="G218" s="22"/>
      <c r="H218" s="22"/>
      <c r="I218" s="22"/>
    </row>
    <row r="219" spans="2:9" ht="12.75" hidden="1">
      <c r="B219" s="22"/>
      <c r="C219" s="22"/>
      <c r="D219" s="22"/>
      <c r="E219" s="22"/>
      <c r="F219" s="22"/>
      <c r="G219" s="22"/>
      <c r="H219" s="22"/>
      <c r="I219" s="22"/>
    </row>
    <row r="220" spans="2:9" ht="12.75" hidden="1">
      <c r="B220" s="22"/>
      <c r="C220" s="22"/>
      <c r="D220" s="22"/>
      <c r="E220" s="22"/>
      <c r="F220" s="22"/>
      <c r="G220" s="22"/>
      <c r="H220" s="22"/>
      <c r="I220" s="22"/>
    </row>
    <row r="221" spans="2:9" ht="12.75" hidden="1">
      <c r="B221" s="22"/>
      <c r="C221" s="22"/>
      <c r="D221" s="22"/>
      <c r="E221" s="22"/>
      <c r="F221" s="22"/>
      <c r="G221" s="22"/>
      <c r="H221" s="22"/>
      <c r="I221" s="22"/>
    </row>
    <row r="222" spans="2:9" ht="12.75" hidden="1">
      <c r="B222" s="22"/>
      <c r="C222" s="22"/>
      <c r="D222" s="22"/>
      <c r="E222" s="22"/>
      <c r="F222" s="22"/>
      <c r="G222" s="22"/>
      <c r="H222" s="22"/>
      <c r="I222" s="22"/>
    </row>
    <row r="223" spans="2:9" ht="12.75" hidden="1">
      <c r="B223" s="22"/>
      <c r="C223" s="22"/>
      <c r="D223" s="22"/>
      <c r="E223" s="22"/>
      <c r="F223" s="22"/>
      <c r="G223" s="22"/>
      <c r="H223" s="22"/>
      <c r="I223" s="22"/>
    </row>
    <row r="224" spans="2:9" ht="12.75" hidden="1">
      <c r="B224" s="22"/>
      <c r="C224" s="22"/>
      <c r="D224" s="22"/>
      <c r="E224" s="22"/>
      <c r="F224" s="22"/>
      <c r="G224" s="22"/>
      <c r="H224" s="22"/>
      <c r="I224" s="22"/>
    </row>
    <row r="225" spans="2:9" ht="12.75" hidden="1">
      <c r="B225" s="22"/>
      <c r="C225" s="22"/>
      <c r="D225" s="22"/>
      <c r="E225" s="22"/>
      <c r="F225" s="22"/>
      <c r="G225" s="22"/>
      <c r="H225" s="22"/>
      <c r="I225" s="22"/>
    </row>
    <row r="226" spans="2:9" ht="12.75" hidden="1">
      <c r="B226" s="22"/>
      <c r="C226" s="22"/>
      <c r="D226" s="22"/>
      <c r="E226" s="22"/>
      <c r="F226" s="22"/>
      <c r="G226" s="22"/>
      <c r="H226" s="22"/>
      <c r="I226" s="22"/>
    </row>
    <row r="227" spans="2:9" ht="12.75" hidden="1">
      <c r="B227" s="22"/>
      <c r="C227" s="22"/>
      <c r="D227" s="22"/>
      <c r="E227" s="22"/>
      <c r="F227" s="22"/>
      <c r="G227" s="22"/>
      <c r="H227" s="22"/>
      <c r="I227" s="22"/>
    </row>
    <row r="228" spans="2:9" ht="12.75" hidden="1">
      <c r="B228" s="22"/>
      <c r="C228" s="22"/>
      <c r="D228" s="22"/>
      <c r="E228" s="22"/>
      <c r="F228" s="22"/>
      <c r="G228" s="22"/>
      <c r="H228" s="22"/>
      <c r="I228" s="22"/>
    </row>
    <row r="229" spans="2:9" ht="12.75" hidden="1">
      <c r="B229" s="22"/>
      <c r="C229" s="22"/>
      <c r="D229" s="22"/>
      <c r="E229" s="22"/>
      <c r="F229" s="22"/>
      <c r="G229" s="22"/>
      <c r="H229" s="22"/>
      <c r="I229" s="22"/>
    </row>
    <row r="230" spans="2:9" ht="12.75" hidden="1">
      <c r="B230" s="22"/>
      <c r="C230" s="22"/>
      <c r="D230" s="22"/>
      <c r="E230" s="22"/>
      <c r="F230" s="22"/>
      <c r="G230" s="22"/>
      <c r="H230" s="22"/>
      <c r="I230" s="22"/>
    </row>
    <row r="231" spans="2:9" ht="12.75" hidden="1">
      <c r="B231" s="22"/>
      <c r="C231" s="22"/>
      <c r="D231" s="22"/>
      <c r="E231" s="22"/>
      <c r="F231" s="22"/>
      <c r="G231" s="22"/>
      <c r="H231" s="22"/>
      <c r="I231" s="22"/>
    </row>
    <row r="232" spans="2:9" ht="12.75" hidden="1">
      <c r="B232" s="22"/>
      <c r="C232" s="22"/>
      <c r="D232" s="22"/>
      <c r="E232" s="22"/>
      <c r="F232" s="22"/>
      <c r="G232" s="22"/>
      <c r="H232" s="22"/>
      <c r="I232" s="22"/>
    </row>
    <row r="233" spans="2:9" ht="12.75" hidden="1">
      <c r="B233" s="22"/>
      <c r="C233" s="22"/>
      <c r="D233" s="22"/>
      <c r="E233" s="22"/>
      <c r="F233" s="22"/>
      <c r="G233" s="22"/>
      <c r="H233" s="22"/>
      <c r="I233" s="22"/>
    </row>
    <row r="234" spans="2:9" ht="12.75" hidden="1">
      <c r="B234" s="22"/>
      <c r="C234" s="22"/>
      <c r="D234" s="22"/>
      <c r="E234" s="22"/>
      <c r="F234" s="22"/>
      <c r="G234" s="22"/>
      <c r="H234" s="22"/>
      <c r="I234" s="22"/>
    </row>
    <row r="235" spans="2:9" ht="12.75" hidden="1">
      <c r="B235" s="22"/>
      <c r="C235" s="22"/>
      <c r="D235" s="22"/>
      <c r="E235" s="22"/>
      <c r="F235" s="22"/>
      <c r="G235" s="22"/>
      <c r="H235" s="22"/>
      <c r="I235" s="22"/>
    </row>
    <row r="236" spans="2:9" ht="12.75" hidden="1">
      <c r="B236" s="22"/>
      <c r="C236" s="22"/>
      <c r="D236" s="22"/>
      <c r="E236" s="22"/>
      <c r="F236" s="22"/>
      <c r="G236" s="22"/>
      <c r="H236" s="22"/>
      <c r="I236" s="22"/>
    </row>
    <row r="237" spans="2:9" ht="12.75" hidden="1">
      <c r="B237" s="22"/>
      <c r="C237" s="22"/>
      <c r="D237" s="22"/>
      <c r="E237" s="22"/>
      <c r="F237" s="22"/>
      <c r="G237" s="22"/>
      <c r="H237" s="22"/>
      <c r="I237" s="22"/>
    </row>
    <row r="238" spans="2:9" ht="12.75" hidden="1">
      <c r="B238" s="22"/>
      <c r="C238" s="22"/>
      <c r="D238" s="22"/>
      <c r="E238" s="22"/>
      <c r="F238" s="22"/>
      <c r="G238" s="22"/>
      <c r="H238" s="22"/>
      <c r="I238" s="22"/>
    </row>
    <row r="239" spans="2:9" ht="12.75" hidden="1">
      <c r="B239" s="22"/>
      <c r="C239" s="22"/>
      <c r="D239" s="22"/>
      <c r="E239" s="22"/>
      <c r="F239" s="22"/>
      <c r="G239" s="22"/>
      <c r="H239" s="22"/>
      <c r="I239" s="22"/>
    </row>
    <row r="240" spans="2:9" ht="12.75" hidden="1">
      <c r="B240" s="22"/>
      <c r="C240" s="22"/>
      <c r="D240" s="22"/>
      <c r="E240" s="22"/>
      <c r="F240" s="22"/>
      <c r="G240" s="22"/>
      <c r="H240" s="22"/>
      <c r="I240" s="22"/>
    </row>
    <row r="241" spans="2:9" ht="12.75" hidden="1">
      <c r="B241" s="22"/>
      <c r="C241" s="22"/>
      <c r="D241" s="22"/>
      <c r="E241" s="22"/>
      <c r="F241" s="22"/>
      <c r="G241" s="22"/>
      <c r="H241" s="22"/>
      <c r="I241" s="22"/>
    </row>
    <row r="242" spans="2:9" ht="12.75" hidden="1">
      <c r="B242" s="22"/>
      <c r="C242" s="22"/>
      <c r="D242" s="22"/>
      <c r="E242" s="22"/>
      <c r="F242" s="22"/>
      <c r="G242" s="22"/>
      <c r="H242" s="22"/>
      <c r="I242" s="22"/>
    </row>
    <row r="243" spans="2:9" ht="12.75" hidden="1">
      <c r="B243" s="22"/>
      <c r="C243" s="22"/>
      <c r="D243" s="22"/>
      <c r="E243" s="22"/>
      <c r="F243" s="22"/>
      <c r="G243" s="22"/>
      <c r="H243" s="22"/>
      <c r="I243" s="22"/>
    </row>
    <row r="244" spans="2:9" ht="12.75" hidden="1">
      <c r="B244" s="22"/>
      <c r="C244" s="22"/>
      <c r="D244" s="22"/>
      <c r="E244" s="22"/>
      <c r="F244" s="22"/>
      <c r="G244" s="22"/>
      <c r="H244" s="22"/>
      <c r="I244" s="22"/>
    </row>
    <row r="245" spans="2:9" ht="12.75" hidden="1">
      <c r="B245" s="22"/>
      <c r="C245" s="22"/>
      <c r="D245" s="22"/>
      <c r="E245" s="22"/>
      <c r="F245" s="22"/>
      <c r="G245" s="22"/>
      <c r="H245" s="22"/>
      <c r="I245" s="22"/>
    </row>
    <row r="246" spans="2:9" ht="12.75" hidden="1">
      <c r="B246" s="22"/>
      <c r="C246" s="22"/>
      <c r="D246" s="22"/>
      <c r="E246" s="22"/>
      <c r="F246" s="22"/>
      <c r="G246" s="22"/>
      <c r="H246" s="22"/>
      <c r="I246" s="22"/>
    </row>
    <row r="247" spans="2:9" ht="12.75" hidden="1">
      <c r="B247" s="22"/>
      <c r="C247" s="22"/>
      <c r="D247" s="22"/>
      <c r="E247" s="22"/>
      <c r="F247" s="22"/>
      <c r="G247" s="22"/>
      <c r="H247" s="22"/>
      <c r="I247" s="22"/>
    </row>
    <row r="248" spans="2:9" ht="12.75" hidden="1">
      <c r="B248" s="22"/>
      <c r="C248" s="22"/>
      <c r="D248" s="22"/>
      <c r="E248" s="22"/>
      <c r="F248" s="22"/>
      <c r="G248" s="22"/>
      <c r="H248" s="22"/>
      <c r="I248" s="22"/>
    </row>
    <row r="249" spans="2:9" ht="12.75" hidden="1">
      <c r="B249" s="22"/>
      <c r="C249" s="22"/>
      <c r="D249" s="22"/>
      <c r="E249" s="22"/>
      <c r="F249" s="22"/>
      <c r="G249" s="22"/>
      <c r="H249" s="22"/>
      <c r="I249" s="22"/>
    </row>
    <row r="250" spans="2:9" ht="12.75" hidden="1">
      <c r="B250" s="22"/>
      <c r="C250" s="22"/>
      <c r="D250" s="22"/>
      <c r="E250" s="22"/>
      <c r="F250" s="22"/>
      <c r="G250" s="22"/>
      <c r="H250" s="22"/>
      <c r="I250" s="22"/>
    </row>
    <row r="251" spans="2:9" ht="12.75" hidden="1">
      <c r="B251" s="22"/>
      <c r="C251" s="22"/>
      <c r="D251" s="22"/>
      <c r="E251" s="22"/>
      <c r="F251" s="22"/>
      <c r="G251" s="22"/>
      <c r="H251" s="22"/>
      <c r="I251" s="22"/>
    </row>
    <row r="252" spans="2:9" ht="12.75" hidden="1">
      <c r="B252" s="22"/>
      <c r="C252" s="22"/>
      <c r="D252" s="22"/>
      <c r="E252" s="22"/>
      <c r="F252" s="22"/>
      <c r="G252" s="22"/>
      <c r="H252" s="22"/>
      <c r="I252" s="22"/>
    </row>
    <row r="253" spans="2:9" ht="12.75" hidden="1">
      <c r="B253" s="22"/>
      <c r="C253" s="22"/>
      <c r="D253" s="22"/>
      <c r="E253" s="22"/>
      <c r="F253" s="22"/>
      <c r="G253" s="22"/>
      <c r="H253" s="22"/>
      <c r="I253" s="22"/>
    </row>
    <row r="254" spans="2:9" ht="12.75" hidden="1">
      <c r="B254" s="22"/>
      <c r="C254" s="22"/>
      <c r="D254" s="22"/>
      <c r="E254" s="22"/>
      <c r="F254" s="22"/>
      <c r="G254" s="22"/>
      <c r="H254" s="22"/>
      <c r="I254" s="22"/>
    </row>
    <row r="255" spans="2:9" ht="12.75" hidden="1">
      <c r="B255" s="22"/>
      <c r="C255" s="22"/>
      <c r="D255" s="22"/>
      <c r="E255" s="22"/>
      <c r="F255" s="22"/>
      <c r="G255" s="22"/>
      <c r="H255" s="22"/>
      <c r="I255" s="22"/>
    </row>
    <row r="256" spans="2:9" ht="12.75" hidden="1">
      <c r="B256" s="22"/>
      <c r="C256" s="22"/>
      <c r="D256" s="22"/>
      <c r="E256" s="22"/>
      <c r="F256" s="22"/>
      <c r="G256" s="22"/>
      <c r="H256" s="22"/>
      <c r="I256" s="22"/>
    </row>
    <row r="257" spans="2:9" ht="12.75" hidden="1">
      <c r="B257" s="22"/>
      <c r="C257" s="22"/>
      <c r="D257" s="22"/>
      <c r="E257" s="22"/>
      <c r="F257" s="22"/>
      <c r="G257" s="22"/>
      <c r="H257" s="22"/>
      <c r="I257" s="22"/>
    </row>
    <row r="258" spans="2:9" ht="12.75" hidden="1">
      <c r="B258" s="22"/>
      <c r="C258" s="22"/>
      <c r="D258" s="22"/>
      <c r="E258" s="22"/>
      <c r="F258" s="22"/>
      <c r="G258" s="22"/>
      <c r="H258" s="22"/>
      <c r="I258" s="22"/>
    </row>
    <row r="259" spans="2:9" ht="12.75" hidden="1">
      <c r="B259" s="22"/>
      <c r="C259" s="22"/>
      <c r="D259" s="22"/>
      <c r="E259" s="22"/>
      <c r="F259" s="22"/>
      <c r="G259" s="22"/>
      <c r="H259" s="22"/>
      <c r="I259" s="22"/>
    </row>
    <row r="260" spans="2:9" ht="12.75" hidden="1">
      <c r="B260" s="22"/>
      <c r="C260" s="22"/>
      <c r="D260" s="22"/>
      <c r="E260" s="22"/>
      <c r="F260" s="22"/>
      <c r="G260" s="22"/>
      <c r="H260" s="22"/>
      <c r="I260" s="22"/>
    </row>
    <row r="261" spans="2:9" ht="12.75" hidden="1">
      <c r="B261" s="22"/>
      <c r="C261" s="22"/>
      <c r="D261" s="22"/>
      <c r="E261" s="22"/>
      <c r="F261" s="22"/>
      <c r="G261" s="22"/>
      <c r="H261" s="22"/>
      <c r="I261" s="22"/>
    </row>
    <row r="262" spans="2:9" ht="12.75" hidden="1">
      <c r="B262" s="22"/>
      <c r="C262" s="22"/>
      <c r="D262" s="22"/>
      <c r="E262" s="22"/>
      <c r="F262" s="22"/>
      <c r="G262" s="22"/>
      <c r="H262" s="22"/>
      <c r="I262" s="22"/>
    </row>
    <row r="263" spans="2:9" ht="12.75" hidden="1">
      <c r="B263" s="22"/>
      <c r="C263" s="22"/>
      <c r="D263" s="22"/>
      <c r="E263" s="22"/>
      <c r="F263" s="22"/>
      <c r="G263" s="22"/>
      <c r="H263" s="22"/>
      <c r="I263" s="22"/>
    </row>
    <row r="264" spans="2:9" ht="12.75" hidden="1">
      <c r="B264" s="22"/>
      <c r="C264" s="22"/>
      <c r="D264" s="22"/>
      <c r="E264" s="22"/>
      <c r="F264" s="22"/>
      <c r="G264" s="22"/>
      <c r="H264" s="22"/>
      <c r="I264" s="22"/>
    </row>
    <row r="265" spans="2:9" ht="12.75" hidden="1">
      <c r="B265" s="22"/>
      <c r="C265" s="22"/>
      <c r="D265" s="22"/>
      <c r="E265" s="22"/>
      <c r="F265" s="22"/>
      <c r="G265" s="22"/>
      <c r="H265" s="22"/>
      <c r="I265" s="22"/>
    </row>
    <row r="266" spans="2:9" ht="12.75" hidden="1">
      <c r="B266" s="22"/>
      <c r="C266" s="22"/>
      <c r="D266" s="22"/>
      <c r="E266" s="22"/>
      <c r="F266" s="22"/>
      <c r="G266" s="22"/>
      <c r="H266" s="22"/>
      <c r="I266" s="22"/>
    </row>
    <row r="267" spans="2:9" ht="12.75" hidden="1">
      <c r="B267" s="22"/>
      <c r="C267" s="22"/>
      <c r="D267" s="22"/>
      <c r="E267" s="22"/>
      <c r="F267" s="22"/>
      <c r="G267" s="22"/>
      <c r="H267" s="22"/>
      <c r="I267" s="22"/>
    </row>
    <row r="268" spans="2:9" ht="12.75" hidden="1">
      <c r="B268" s="22"/>
      <c r="C268" s="22"/>
      <c r="D268" s="22"/>
      <c r="E268" s="22"/>
      <c r="F268" s="22"/>
      <c r="G268" s="22"/>
      <c r="H268" s="22"/>
      <c r="I268" s="22"/>
    </row>
    <row r="269" spans="2:9" ht="12.75" hidden="1">
      <c r="B269" s="22"/>
      <c r="C269" s="22"/>
      <c r="D269" s="22"/>
      <c r="E269" s="22"/>
      <c r="F269" s="22"/>
      <c r="G269" s="22"/>
      <c r="H269" s="22"/>
      <c r="I269" s="22"/>
    </row>
    <row r="270" spans="2:9" ht="12.75" hidden="1">
      <c r="B270" s="22"/>
      <c r="C270" s="22"/>
      <c r="D270" s="22"/>
      <c r="E270" s="22"/>
      <c r="F270" s="22"/>
      <c r="G270" s="22"/>
      <c r="H270" s="22"/>
      <c r="I270" s="22"/>
    </row>
    <row r="271" spans="2:9" ht="12.75" hidden="1">
      <c r="B271" s="22"/>
      <c r="C271" s="22"/>
      <c r="D271" s="22"/>
      <c r="E271" s="22"/>
      <c r="F271" s="22"/>
      <c r="G271" s="22"/>
      <c r="H271" s="22"/>
      <c r="I271" s="22"/>
    </row>
    <row r="272" spans="2:9" ht="12.75" hidden="1">
      <c r="B272" s="22"/>
      <c r="C272" s="22"/>
      <c r="D272" s="22"/>
      <c r="E272" s="22"/>
      <c r="F272" s="22"/>
      <c r="G272" s="22"/>
      <c r="H272" s="22"/>
      <c r="I272" s="22"/>
    </row>
    <row r="273" spans="2:9" ht="12.75" hidden="1">
      <c r="B273" s="22"/>
      <c r="C273" s="22"/>
      <c r="D273" s="22"/>
      <c r="E273" s="22"/>
      <c r="F273" s="22"/>
      <c r="G273" s="22"/>
      <c r="H273" s="22"/>
      <c r="I273" s="22"/>
    </row>
    <row r="274" spans="2:9" ht="12.75" hidden="1">
      <c r="B274" s="22"/>
      <c r="C274" s="22"/>
      <c r="D274" s="22"/>
      <c r="E274" s="22"/>
      <c r="F274" s="22"/>
      <c r="G274" s="22"/>
      <c r="H274" s="22"/>
      <c r="I274" s="22"/>
    </row>
    <row r="275" spans="2:9" ht="12.75" hidden="1">
      <c r="B275" s="22"/>
      <c r="C275" s="22"/>
      <c r="D275" s="22"/>
      <c r="E275" s="22"/>
      <c r="F275" s="22"/>
      <c r="G275" s="22"/>
      <c r="H275" s="22"/>
      <c r="I275" s="22"/>
    </row>
    <row r="276" spans="2:9" ht="12.75" hidden="1">
      <c r="B276" s="22"/>
      <c r="C276" s="22"/>
      <c r="D276" s="22"/>
      <c r="E276" s="22"/>
      <c r="F276" s="22"/>
      <c r="G276" s="22"/>
      <c r="H276" s="22"/>
      <c r="I276" s="22"/>
    </row>
    <row r="277" spans="2:9" ht="12.75" hidden="1">
      <c r="B277" s="22"/>
      <c r="C277" s="22"/>
      <c r="D277" s="22"/>
      <c r="E277" s="22"/>
      <c r="F277" s="22"/>
      <c r="G277" s="22"/>
      <c r="H277" s="22"/>
      <c r="I277" s="22"/>
    </row>
    <row r="278" spans="2:9" ht="12.75" hidden="1">
      <c r="B278" s="22"/>
      <c r="C278" s="22"/>
      <c r="D278" s="22"/>
      <c r="E278" s="22"/>
      <c r="F278" s="22"/>
      <c r="G278" s="22"/>
      <c r="H278" s="22"/>
      <c r="I278" s="22"/>
    </row>
    <row r="279" spans="2:9" ht="12.75" hidden="1">
      <c r="B279" s="22"/>
      <c r="C279" s="22"/>
      <c r="D279" s="22"/>
      <c r="E279" s="22"/>
      <c r="F279" s="22"/>
      <c r="G279" s="22"/>
      <c r="H279" s="22"/>
      <c r="I279" s="22"/>
    </row>
    <row r="280" spans="2:9" ht="12.75" hidden="1">
      <c r="B280" s="22"/>
      <c r="C280" s="22"/>
      <c r="D280" s="22"/>
      <c r="E280" s="22"/>
      <c r="F280" s="22"/>
      <c r="G280" s="22"/>
      <c r="H280" s="22"/>
      <c r="I280" s="22"/>
    </row>
    <row r="281" spans="2:9" ht="12.75" hidden="1">
      <c r="B281" s="22"/>
      <c r="C281" s="22"/>
      <c r="D281" s="22"/>
      <c r="E281" s="22"/>
      <c r="F281" s="22"/>
      <c r="G281" s="22"/>
      <c r="H281" s="22"/>
      <c r="I281" s="22"/>
    </row>
    <row r="282" spans="2:9" ht="12.75" hidden="1">
      <c r="B282" s="22"/>
      <c r="C282" s="22"/>
      <c r="D282" s="22"/>
      <c r="E282" s="22"/>
      <c r="F282" s="22"/>
      <c r="G282" s="22"/>
      <c r="H282" s="22"/>
      <c r="I282" s="22"/>
    </row>
    <row r="283" spans="2:9" ht="12.75" hidden="1">
      <c r="B283" s="22"/>
      <c r="C283" s="22"/>
      <c r="D283" s="22"/>
      <c r="E283" s="22"/>
      <c r="F283" s="22"/>
      <c r="G283" s="22"/>
      <c r="H283" s="22"/>
      <c r="I283" s="22"/>
    </row>
    <row r="284" spans="2:9" ht="12.75" hidden="1">
      <c r="B284" s="22"/>
      <c r="C284" s="22"/>
      <c r="D284" s="22"/>
      <c r="E284" s="22"/>
      <c r="F284" s="22"/>
      <c r="G284" s="22"/>
      <c r="H284" s="22"/>
      <c r="I284" s="22"/>
    </row>
    <row r="285" spans="2:9" ht="12.75" hidden="1">
      <c r="B285" s="22"/>
      <c r="C285" s="22"/>
      <c r="D285" s="22"/>
      <c r="E285" s="22"/>
      <c r="F285" s="22"/>
      <c r="G285" s="22"/>
      <c r="H285" s="22"/>
      <c r="I285" s="22"/>
    </row>
    <row r="286" spans="2:9" ht="12.75" hidden="1">
      <c r="B286" s="22"/>
      <c r="C286" s="22"/>
      <c r="D286" s="22"/>
      <c r="E286" s="22"/>
      <c r="F286" s="22"/>
      <c r="G286" s="22"/>
      <c r="H286" s="22"/>
      <c r="I286" s="22"/>
    </row>
    <row r="287" spans="2:9" ht="12.75" hidden="1">
      <c r="B287" s="22"/>
      <c r="C287" s="22"/>
      <c r="D287" s="22"/>
      <c r="E287" s="22"/>
      <c r="F287" s="22"/>
      <c r="G287" s="22"/>
      <c r="H287" s="22"/>
      <c r="I287" s="22"/>
    </row>
    <row r="288" spans="2:9" ht="12.75" hidden="1">
      <c r="B288" s="22"/>
      <c r="C288" s="22"/>
      <c r="D288" s="22"/>
      <c r="E288" s="22"/>
      <c r="F288" s="22"/>
      <c r="G288" s="22"/>
      <c r="H288" s="22"/>
      <c r="I288" s="22"/>
    </row>
    <row r="289" spans="2:9" ht="12.75" hidden="1">
      <c r="B289" s="22"/>
      <c r="C289" s="22"/>
      <c r="D289" s="22"/>
      <c r="E289" s="22"/>
      <c r="F289" s="22"/>
      <c r="G289" s="22"/>
      <c r="H289" s="22"/>
      <c r="I289" s="22"/>
    </row>
    <row r="290" spans="2:9" ht="12.75" hidden="1">
      <c r="B290" s="22"/>
      <c r="C290" s="22"/>
      <c r="D290" s="22"/>
      <c r="E290" s="22"/>
      <c r="F290" s="22"/>
      <c r="G290" s="22"/>
      <c r="H290" s="22"/>
      <c r="I290" s="22"/>
    </row>
    <row r="291" spans="2:9" ht="12.75" hidden="1">
      <c r="B291" s="22"/>
      <c r="C291" s="22"/>
      <c r="D291" s="22"/>
      <c r="E291" s="22"/>
      <c r="F291" s="22"/>
      <c r="G291" s="22"/>
      <c r="H291" s="22"/>
      <c r="I291" s="22"/>
    </row>
    <row r="292" spans="2:9" ht="12.75" hidden="1">
      <c r="B292" s="22"/>
      <c r="C292" s="22"/>
      <c r="D292" s="22"/>
      <c r="E292" s="22"/>
      <c r="F292" s="22"/>
      <c r="G292" s="22"/>
      <c r="H292" s="22"/>
      <c r="I292" s="22"/>
    </row>
    <row r="293" spans="2:9" ht="12.75" hidden="1">
      <c r="B293" s="22"/>
      <c r="C293" s="22"/>
      <c r="D293" s="22"/>
      <c r="E293" s="22"/>
      <c r="F293" s="22"/>
      <c r="G293" s="22"/>
      <c r="H293" s="22"/>
      <c r="I293" s="22"/>
    </row>
    <row r="294" spans="2:9" ht="12.75" hidden="1">
      <c r="B294" s="22"/>
      <c r="C294" s="22"/>
      <c r="D294" s="22"/>
      <c r="E294" s="22"/>
      <c r="F294" s="22"/>
      <c r="G294" s="22"/>
      <c r="H294" s="22"/>
      <c r="I294" s="22"/>
    </row>
    <row r="295" spans="2:9" ht="12.75" hidden="1">
      <c r="B295" s="22"/>
      <c r="C295" s="22"/>
      <c r="D295" s="22"/>
      <c r="E295" s="22"/>
      <c r="F295" s="22"/>
      <c r="G295" s="22"/>
      <c r="H295" s="22"/>
      <c r="I295" s="22"/>
    </row>
    <row r="296" spans="2:9" ht="12.75" hidden="1">
      <c r="B296" s="22"/>
      <c r="C296" s="22"/>
      <c r="D296" s="22"/>
      <c r="E296" s="22"/>
      <c r="F296" s="22"/>
      <c r="G296" s="22"/>
      <c r="H296" s="22"/>
      <c r="I296" s="22"/>
    </row>
    <row r="297" spans="2:9" ht="12.75" hidden="1">
      <c r="B297" s="22"/>
      <c r="C297" s="22"/>
      <c r="D297" s="22"/>
      <c r="E297" s="22"/>
      <c r="F297" s="22"/>
      <c r="G297" s="22"/>
      <c r="H297" s="22"/>
      <c r="I297" s="22"/>
    </row>
    <row r="298" spans="2:9" ht="12.75" hidden="1">
      <c r="B298" s="22"/>
      <c r="C298" s="22"/>
      <c r="D298" s="22"/>
      <c r="E298" s="22"/>
      <c r="F298" s="22"/>
      <c r="G298" s="22"/>
      <c r="H298" s="22"/>
      <c r="I298" s="22"/>
    </row>
    <row r="299" spans="2:9" ht="12.75" hidden="1">
      <c r="B299" s="22"/>
      <c r="C299" s="22"/>
      <c r="D299" s="22"/>
      <c r="E299" s="22"/>
      <c r="F299" s="22"/>
      <c r="G299" s="22"/>
      <c r="H299" s="22"/>
      <c r="I299" s="22"/>
    </row>
    <row r="300" spans="2:9" ht="12.75" hidden="1">
      <c r="B300" s="22"/>
      <c r="C300" s="22"/>
      <c r="D300" s="22"/>
      <c r="E300" s="22"/>
      <c r="F300" s="22"/>
      <c r="G300" s="22"/>
      <c r="H300" s="22"/>
      <c r="I300" s="22"/>
    </row>
    <row r="301" spans="2:9" ht="12.75" hidden="1">
      <c r="B301" s="22"/>
      <c r="C301" s="22"/>
      <c r="D301" s="22"/>
      <c r="E301" s="22"/>
      <c r="F301" s="22"/>
      <c r="G301" s="22"/>
      <c r="H301" s="22"/>
      <c r="I301" s="22"/>
    </row>
    <row r="302" spans="2:9" ht="12.75" hidden="1">
      <c r="B302" s="22"/>
      <c r="C302" s="22"/>
      <c r="D302" s="22"/>
      <c r="E302" s="22"/>
      <c r="F302" s="22"/>
      <c r="G302" s="22"/>
      <c r="H302" s="22"/>
      <c r="I302" s="22"/>
    </row>
    <row r="303" spans="2:9" ht="12.75" hidden="1">
      <c r="B303" s="22"/>
      <c r="C303" s="22"/>
      <c r="D303" s="22"/>
      <c r="E303" s="22"/>
      <c r="F303" s="22"/>
      <c r="G303" s="22"/>
      <c r="H303" s="22"/>
      <c r="I303" s="22"/>
    </row>
    <row r="304" spans="2:9" ht="12.75" hidden="1">
      <c r="B304" s="22"/>
      <c r="C304" s="22"/>
      <c r="D304" s="22"/>
      <c r="E304" s="22"/>
      <c r="F304" s="22"/>
      <c r="G304" s="22"/>
      <c r="H304" s="22"/>
      <c r="I304" s="22"/>
    </row>
    <row r="305" spans="2:9" ht="12.75" hidden="1">
      <c r="B305" s="22"/>
      <c r="C305" s="22"/>
      <c r="D305" s="22"/>
      <c r="E305" s="22"/>
      <c r="F305" s="22"/>
      <c r="G305" s="22"/>
      <c r="H305" s="22"/>
      <c r="I305" s="22"/>
    </row>
    <row r="306" spans="2:9" ht="12.75" hidden="1">
      <c r="B306" s="22"/>
      <c r="C306" s="22"/>
      <c r="D306" s="22"/>
      <c r="E306" s="22"/>
      <c r="F306" s="22"/>
      <c r="G306" s="22"/>
      <c r="H306" s="22"/>
      <c r="I306" s="22"/>
    </row>
    <row r="307" spans="2:9" ht="12.75" hidden="1">
      <c r="B307" s="22"/>
      <c r="C307" s="22"/>
      <c r="D307" s="22"/>
      <c r="E307" s="22"/>
      <c r="F307" s="22"/>
      <c r="G307" s="22"/>
      <c r="H307" s="22"/>
      <c r="I307" s="22"/>
    </row>
    <row r="308" spans="2:9" ht="12.75" hidden="1">
      <c r="B308" s="22"/>
      <c r="C308" s="22"/>
      <c r="D308" s="22"/>
      <c r="E308" s="22"/>
      <c r="F308" s="22"/>
      <c r="G308" s="22"/>
      <c r="H308" s="22"/>
      <c r="I308" s="22"/>
    </row>
    <row r="309" spans="2:9" ht="12.75" hidden="1">
      <c r="B309" s="22"/>
      <c r="C309" s="22"/>
      <c r="D309" s="22"/>
      <c r="E309" s="22"/>
      <c r="F309" s="22"/>
      <c r="G309" s="22"/>
      <c r="H309" s="22"/>
      <c r="I309" s="22"/>
    </row>
    <row r="310" spans="2:9" ht="12.75" hidden="1">
      <c r="B310" s="22"/>
      <c r="C310" s="22"/>
      <c r="D310" s="22"/>
      <c r="E310" s="22"/>
      <c r="F310" s="22"/>
      <c r="G310" s="22"/>
      <c r="H310" s="22"/>
      <c r="I310" s="22"/>
    </row>
    <row r="311" spans="2:9" ht="12.75" hidden="1">
      <c r="B311" s="22"/>
      <c r="C311" s="22"/>
      <c r="D311" s="22"/>
      <c r="E311" s="22"/>
      <c r="F311" s="22"/>
      <c r="G311" s="22"/>
      <c r="H311" s="22"/>
      <c r="I311" s="22"/>
    </row>
    <row r="312" spans="2:9" ht="12.75" hidden="1">
      <c r="B312" s="22"/>
      <c r="C312" s="22"/>
      <c r="D312" s="22"/>
      <c r="E312" s="22"/>
      <c r="F312" s="22"/>
      <c r="G312" s="22"/>
      <c r="H312" s="22"/>
      <c r="I312" s="22"/>
    </row>
    <row r="313" spans="2:9" ht="12.75" hidden="1">
      <c r="B313" s="22"/>
      <c r="C313" s="22"/>
      <c r="D313" s="22"/>
      <c r="E313" s="22"/>
      <c r="F313" s="22"/>
      <c r="G313" s="22"/>
      <c r="H313" s="22"/>
      <c r="I313" s="22"/>
    </row>
    <row r="314" spans="2:9" ht="12.75" hidden="1">
      <c r="B314" s="22"/>
      <c r="C314" s="22"/>
      <c r="D314" s="22"/>
      <c r="E314" s="22"/>
      <c r="F314" s="22"/>
      <c r="G314" s="22"/>
      <c r="H314" s="22"/>
      <c r="I314" s="22"/>
    </row>
    <row r="315" spans="2:9" ht="12.75" hidden="1">
      <c r="B315" s="22"/>
      <c r="C315" s="22"/>
      <c r="D315" s="22"/>
      <c r="E315" s="22"/>
      <c r="F315" s="22"/>
      <c r="G315" s="22"/>
      <c r="H315" s="22"/>
      <c r="I315" s="22"/>
    </row>
    <row r="316" spans="2:9" ht="12.75" hidden="1">
      <c r="B316" s="22"/>
      <c r="C316" s="22"/>
      <c r="D316" s="22"/>
      <c r="E316" s="22"/>
      <c r="F316" s="22"/>
      <c r="G316" s="22"/>
      <c r="H316" s="22"/>
      <c r="I316" s="22"/>
    </row>
    <row r="317" spans="2:9" ht="12.75" hidden="1">
      <c r="B317" s="22"/>
      <c r="C317" s="22"/>
      <c r="D317" s="22"/>
      <c r="E317" s="22"/>
      <c r="F317" s="22"/>
      <c r="G317" s="22"/>
      <c r="H317" s="22"/>
      <c r="I317" s="22"/>
    </row>
    <row r="318" spans="2:9" ht="12.75" hidden="1">
      <c r="B318" s="22"/>
      <c r="C318" s="22"/>
      <c r="D318" s="22"/>
      <c r="E318" s="22"/>
      <c r="F318" s="22"/>
      <c r="G318" s="22"/>
      <c r="H318" s="22"/>
      <c r="I318" s="22"/>
    </row>
    <row r="319" spans="2:9" ht="12.75" hidden="1">
      <c r="B319" s="22"/>
      <c r="C319" s="22"/>
      <c r="D319" s="22"/>
      <c r="E319" s="22"/>
      <c r="F319" s="22"/>
      <c r="G319" s="22"/>
      <c r="H319" s="22"/>
      <c r="I319" s="22"/>
    </row>
    <row r="320" spans="2:9" ht="12.75" hidden="1">
      <c r="B320" s="22"/>
      <c r="C320" s="22"/>
      <c r="D320" s="22"/>
      <c r="E320" s="22"/>
      <c r="F320" s="22"/>
      <c r="G320" s="22"/>
      <c r="H320" s="22"/>
      <c r="I320" s="22"/>
    </row>
    <row r="321" spans="2:9" ht="12.75" hidden="1">
      <c r="B321" s="22"/>
      <c r="C321" s="22"/>
      <c r="D321" s="22"/>
      <c r="E321" s="22"/>
      <c r="F321" s="22"/>
      <c r="G321" s="22"/>
      <c r="H321" s="22"/>
      <c r="I321" s="22"/>
    </row>
    <row r="322" spans="2:9" ht="12.75" hidden="1">
      <c r="B322" s="22"/>
      <c r="C322" s="22"/>
      <c r="D322" s="22"/>
      <c r="E322" s="22"/>
      <c r="F322" s="22"/>
      <c r="G322" s="22"/>
      <c r="H322" s="22"/>
      <c r="I322" s="22"/>
    </row>
    <row r="323" spans="2:9" ht="12.75" hidden="1">
      <c r="B323" s="22"/>
      <c r="C323" s="22"/>
      <c r="D323" s="22"/>
      <c r="E323" s="22"/>
      <c r="F323" s="22"/>
      <c r="G323" s="22"/>
      <c r="H323" s="22"/>
      <c r="I323" s="22"/>
    </row>
    <row r="324" spans="2:9" ht="12.75" hidden="1">
      <c r="B324" s="22"/>
      <c r="C324" s="22"/>
      <c r="D324" s="22"/>
      <c r="E324" s="22"/>
      <c r="F324" s="22"/>
      <c r="G324" s="22"/>
      <c r="H324" s="22"/>
      <c r="I324" s="22"/>
    </row>
    <row r="325" spans="2:9" ht="12.75" hidden="1">
      <c r="B325" s="22"/>
      <c r="C325" s="22"/>
      <c r="D325" s="22"/>
      <c r="E325" s="22"/>
      <c r="F325" s="22"/>
      <c r="G325" s="22"/>
      <c r="H325" s="22"/>
      <c r="I325" s="22"/>
    </row>
    <row r="326" spans="2:9" ht="12.75" hidden="1">
      <c r="B326" s="22"/>
      <c r="C326" s="22"/>
      <c r="D326" s="22"/>
      <c r="E326" s="22"/>
      <c r="F326" s="22"/>
      <c r="G326" s="22"/>
      <c r="H326" s="22"/>
      <c r="I326" s="22"/>
    </row>
    <row r="327" spans="2:9" ht="12.75" hidden="1">
      <c r="B327" s="22"/>
      <c r="C327" s="22"/>
      <c r="D327" s="22"/>
      <c r="E327" s="22"/>
      <c r="F327" s="22"/>
      <c r="G327" s="22"/>
      <c r="H327" s="22"/>
      <c r="I327" s="22"/>
    </row>
    <row r="328" spans="2:9" ht="12.75" hidden="1">
      <c r="B328" s="22"/>
      <c r="C328" s="22"/>
      <c r="D328" s="22"/>
      <c r="E328" s="22"/>
      <c r="F328" s="22"/>
      <c r="G328" s="22"/>
      <c r="H328" s="22"/>
      <c r="I328" s="22"/>
    </row>
    <row r="329" spans="2:9" ht="12.75" hidden="1">
      <c r="B329" s="22"/>
      <c r="C329" s="22"/>
      <c r="D329" s="22"/>
      <c r="E329" s="22"/>
      <c r="F329" s="22"/>
      <c r="G329" s="22"/>
      <c r="H329" s="22"/>
      <c r="I329" s="22"/>
    </row>
    <row r="330" spans="2:9" ht="12.75" hidden="1">
      <c r="B330" s="22"/>
      <c r="C330" s="22"/>
      <c r="D330" s="22"/>
      <c r="E330" s="22"/>
      <c r="F330" s="22"/>
      <c r="G330" s="22"/>
      <c r="H330" s="22"/>
      <c r="I330" s="22"/>
    </row>
    <row r="331" spans="2:9" ht="12.75" hidden="1">
      <c r="B331" s="22"/>
      <c r="C331" s="22"/>
      <c r="D331" s="22"/>
      <c r="E331" s="22"/>
      <c r="F331" s="22"/>
      <c r="G331" s="22"/>
      <c r="H331" s="22"/>
      <c r="I331" s="22"/>
    </row>
    <row r="332" spans="2:9" ht="12.75" hidden="1">
      <c r="B332" s="22"/>
      <c r="C332" s="22"/>
      <c r="D332" s="22"/>
      <c r="E332" s="22"/>
      <c r="F332" s="22"/>
      <c r="G332" s="22"/>
      <c r="H332" s="22"/>
      <c r="I332" s="22"/>
    </row>
    <row r="333" spans="2:9" ht="12.75" hidden="1">
      <c r="B333" s="22"/>
      <c r="C333" s="22"/>
      <c r="D333" s="22"/>
      <c r="E333" s="22"/>
      <c r="F333" s="22"/>
      <c r="G333" s="22"/>
      <c r="H333" s="22"/>
      <c r="I333" s="22"/>
    </row>
    <row r="334" spans="2:9" ht="12.75" hidden="1">
      <c r="B334" s="22"/>
      <c r="C334" s="22"/>
      <c r="D334" s="22"/>
      <c r="E334" s="22"/>
      <c r="F334" s="22"/>
      <c r="G334" s="22"/>
      <c r="H334" s="22"/>
      <c r="I334" s="22"/>
    </row>
    <row r="335" spans="2:9" ht="12.75" hidden="1">
      <c r="B335" s="22"/>
      <c r="C335" s="22"/>
      <c r="D335" s="22"/>
      <c r="E335" s="22"/>
      <c r="F335" s="22"/>
      <c r="G335" s="22"/>
      <c r="H335" s="22"/>
      <c r="I335" s="22"/>
    </row>
    <row r="336" spans="2:9" ht="12.75" hidden="1">
      <c r="B336" s="22"/>
      <c r="C336" s="22"/>
      <c r="D336" s="22"/>
      <c r="E336" s="22"/>
      <c r="F336" s="22"/>
      <c r="G336" s="22"/>
      <c r="H336" s="22"/>
      <c r="I336" s="22"/>
    </row>
    <row r="337" spans="2:9" ht="12.75" hidden="1">
      <c r="B337" s="22"/>
      <c r="C337" s="22"/>
      <c r="D337" s="22"/>
      <c r="E337" s="22"/>
      <c r="F337" s="22"/>
      <c r="G337" s="22"/>
      <c r="H337" s="22"/>
      <c r="I337" s="22"/>
    </row>
    <row r="338" spans="2:9" ht="12.75" hidden="1">
      <c r="B338" s="22"/>
      <c r="C338" s="22"/>
      <c r="D338" s="22"/>
      <c r="E338" s="22"/>
      <c r="F338" s="22"/>
      <c r="G338" s="22"/>
      <c r="H338" s="22"/>
      <c r="I338" s="22"/>
    </row>
    <row r="339" spans="2:9" ht="12.75" hidden="1">
      <c r="B339" s="22"/>
      <c r="C339" s="22"/>
      <c r="D339" s="22"/>
      <c r="E339" s="22"/>
      <c r="F339" s="22"/>
      <c r="G339" s="22"/>
      <c r="H339" s="22"/>
      <c r="I339" s="22"/>
    </row>
    <row r="340" spans="2:9" ht="12.75" hidden="1">
      <c r="B340" s="22"/>
      <c r="C340" s="22"/>
      <c r="D340" s="22"/>
      <c r="E340" s="22"/>
      <c r="F340" s="22"/>
      <c r="G340" s="22"/>
      <c r="H340" s="22"/>
      <c r="I340" s="22"/>
    </row>
    <row r="341" spans="2:9" ht="12.75" hidden="1">
      <c r="B341" s="22"/>
      <c r="C341" s="22"/>
      <c r="D341" s="22"/>
      <c r="E341" s="22"/>
      <c r="F341" s="22"/>
      <c r="G341" s="22"/>
      <c r="H341" s="22"/>
      <c r="I341" s="22"/>
    </row>
    <row r="342" spans="2:9" ht="12.75" hidden="1">
      <c r="B342" s="22"/>
      <c r="C342" s="22"/>
      <c r="D342" s="22"/>
      <c r="E342" s="22"/>
      <c r="F342" s="22"/>
      <c r="G342" s="22"/>
      <c r="H342" s="22"/>
      <c r="I342" s="22"/>
    </row>
    <row r="343" spans="2:9" ht="12.75" hidden="1">
      <c r="B343" s="22"/>
      <c r="C343" s="22"/>
      <c r="D343" s="22"/>
      <c r="E343" s="22"/>
      <c r="F343" s="22"/>
      <c r="G343" s="22"/>
      <c r="H343" s="22"/>
      <c r="I343" s="22"/>
    </row>
    <row r="344" spans="2:9" ht="12.75" hidden="1">
      <c r="B344" s="22"/>
      <c r="C344" s="22"/>
      <c r="D344" s="22"/>
      <c r="E344" s="22"/>
      <c r="F344" s="22"/>
      <c r="G344" s="22"/>
      <c r="H344" s="22"/>
      <c r="I344" s="22"/>
    </row>
    <row r="345" spans="2:9" ht="12.75" hidden="1">
      <c r="B345" s="22"/>
      <c r="C345" s="22"/>
      <c r="D345" s="22"/>
      <c r="E345" s="22"/>
      <c r="F345" s="22"/>
      <c r="G345" s="22"/>
      <c r="H345" s="22"/>
      <c r="I345" s="22"/>
    </row>
    <row r="346" spans="2:9" ht="12.75" hidden="1">
      <c r="B346" s="22"/>
      <c r="C346" s="22"/>
      <c r="D346" s="22"/>
      <c r="E346" s="22"/>
      <c r="F346" s="22"/>
      <c r="G346" s="22"/>
      <c r="H346" s="22"/>
      <c r="I346" s="22"/>
    </row>
    <row r="347" spans="2:9" ht="12.75" hidden="1">
      <c r="B347" s="22"/>
      <c r="C347" s="22"/>
      <c r="D347" s="22"/>
      <c r="E347" s="22"/>
      <c r="F347" s="22"/>
      <c r="G347" s="22"/>
      <c r="H347" s="22"/>
      <c r="I347" s="22"/>
    </row>
    <row r="348" spans="2:9" ht="12.75" hidden="1">
      <c r="B348" s="22"/>
      <c r="C348" s="22"/>
      <c r="D348" s="22"/>
      <c r="E348" s="22"/>
      <c r="F348" s="22"/>
      <c r="G348" s="22"/>
      <c r="H348" s="22"/>
      <c r="I348" s="22"/>
    </row>
    <row r="349" spans="2:9" ht="12.75" hidden="1">
      <c r="B349" s="22"/>
      <c r="C349" s="22"/>
      <c r="D349" s="22"/>
      <c r="E349" s="22"/>
      <c r="F349" s="22"/>
      <c r="G349" s="22"/>
      <c r="H349" s="22"/>
      <c r="I349" s="22"/>
    </row>
    <row r="350" spans="2:9" ht="12.75" hidden="1">
      <c r="B350" s="22"/>
      <c r="C350" s="22"/>
      <c r="D350" s="22"/>
      <c r="E350" s="22"/>
      <c r="F350" s="22"/>
      <c r="G350" s="22"/>
      <c r="H350" s="22"/>
      <c r="I350" s="22"/>
    </row>
    <row r="351" spans="2:9" ht="12.75" hidden="1">
      <c r="B351" s="22"/>
      <c r="C351" s="22"/>
      <c r="D351" s="22"/>
      <c r="E351" s="22"/>
      <c r="F351" s="22"/>
      <c r="G351" s="22"/>
      <c r="H351" s="22"/>
      <c r="I351" s="22"/>
    </row>
    <row r="352" spans="2:9" ht="12.75" hidden="1">
      <c r="B352" s="22"/>
      <c r="C352" s="22"/>
      <c r="D352" s="22"/>
      <c r="E352" s="22"/>
      <c r="F352" s="22"/>
      <c r="G352" s="22"/>
      <c r="H352" s="22"/>
      <c r="I352" s="22"/>
    </row>
    <row r="353" spans="2:9" ht="12.75" hidden="1">
      <c r="B353" s="22"/>
      <c r="C353" s="22"/>
      <c r="D353" s="22"/>
      <c r="E353" s="22"/>
      <c r="F353" s="22"/>
      <c r="G353" s="22"/>
      <c r="H353" s="22"/>
      <c r="I353" s="22"/>
    </row>
    <row r="354" spans="2:9" ht="12.75" hidden="1">
      <c r="B354" s="22"/>
      <c r="C354" s="22"/>
      <c r="D354" s="22"/>
      <c r="E354" s="22"/>
      <c r="F354" s="22"/>
      <c r="G354" s="22"/>
      <c r="H354" s="22"/>
      <c r="I354" s="22"/>
    </row>
    <row r="355" spans="2:9" ht="12.75" hidden="1">
      <c r="B355" s="22"/>
      <c r="C355" s="22"/>
      <c r="D355" s="22"/>
      <c r="E355" s="22"/>
      <c r="F355" s="22"/>
      <c r="G355" s="22"/>
      <c r="H355" s="22"/>
      <c r="I355" s="22"/>
    </row>
    <row r="356" spans="2:9" ht="12.75" hidden="1">
      <c r="B356" s="22"/>
      <c r="C356" s="22"/>
      <c r="D356" s="22"/>
      <c r="E356" s="22"/>
      <c r="F356" s="22"/>
      <c r="G356" s="22"/>
      <c r="H356" s="22"/>
      <c r="I356" s="22"/>
    </row>
    <row r="357" spans="2:9" ht="12.75" hidden="1">
      <c r="B357" s="22"/>
      <c r="C357" s="22"/>
      <c r="D357" s="22"/>
      <c r="E357" s="22"/>
      <c r="F357" s="22"/>
      <c r="G357" s="22"/>
      <c r="H357" s="22"/>
      <c r="I357" s="22"/>
    </row>
    <row r="358" spans="2:9" ht="12.75" hidden="1">
      <c r="B358" s="22"/>
      <c r="C358" s="22"/>
      <c r="D358" s="22"/>
      <c r="E358" s="22"/>
      <c r="F358" s="22"/>
      <c r="G358" s="22"/>
      <c r="H358" s="22"/>
      <c r="I358" s="22"/>
    </row>
    <row r="359" spans="2:9" ht="12.75" hidden="1">
      <c r="B359" s="22"/>
      <c r="C359" s="22"/>
      <c r="D359" s="22"/>
      <c r="E359" s="22"/>
      <c r="F359" s="22"/>
      <c r="G359" s="22"/>
      <c r="H359" s="22"/>
      <c r="I359" s="22"/>
    </row>
    <row r="360" spans="2:9" ht="12.75" hidden="1">
      <c r="B360" s="22"/>
      <c r="C360" s="22"/>
      <c r="D360" s="22"/>
      <c r="E360" s="22"/>
      <c r="F360" s="22"/>
      <c r="G360" s="22"/>
      <c r="H360" s="22"/>
      <c r="I360" s="22"/>
    </row>
    <row r="361" spans="2:9" ht="12.75" hidden="1">
      <c r="B361" s="22"/>
      <c r="C361" s="22"/>
      <c r="D361" s="22"/>
      <c r="E361" s="22"/>
      <c r="F361" s="22"/>
      <c r="G361" s="22"/>
      <c r="H361" s="22"/>
      <c r="I361" s="22"/>
    </row>
    <row r="362" spans="2:9" ht="12.75" hidden="1">
      <c r="B362" s="22"/>
      <c r="C362" s="22"/>
      <c r="D362" s="22"/>
      <c r="E362" s="22"/>
      <c r="F362" s="22"/>
      <c r="G362" s="22"/>
      <c r="H362" s="22"/>
      <c r="I362" s="22"/>
    </row>
    <row r="363" spans="2:9" ht="12.75" hidden="1">
      <c r="B363" s="22"/>
      <c r="C363" s="22"/>
      <c r="D363" s="22"/>
      <c r="E363" s="22"/>
      <c r="F363" s="22"/>
      <c r="G363" s="22"/>
      <c r="H363" s="22"/>
      <c r="I363" s="22"/>
    </row>
    <row r="364" spans="2:9" ht="12.75" hidden="1">
      <c r="B364" s="22"/>
      <c r="C364" s="22"/>
      <c r="D364" s="22"/>
      <c r="E364" s="22"/>
      <c r="F364" s="22"/>
      <c r="G364" s="22"/>
      <c r="H364" s="22"/>
      <c r="I364" s="22"/>
    </row>
    <row r="365" spans="2:9" ht="12.75" hidden="1">
      <c r="B365" s="22"/>
      <c r="C365" s="22"/>
      <c r="D365" s="22"/>
      <c r="E365" s="22"/>
      <c r="F365" s="22"/>
      <c r="G365" s="22"/>
      <c r="H365" s="22"/>
      <c r="I365" s="22"/>
    </row>
    <row r="366" spans="2:9" ht="12.75" hidden="1">
      <c r="B366" s="22"/>
      <c r="C366" s="22"/>
      <c r="D366" s="22"/>
      <c r="E366" s="22"/>
      <c r="F366" s="22"/>
      <c r="G366" s="22"/>
      <c r="H366" s="22"/>
      <c r="I366" s="22"/>
    </row>
    <row r="367" spans="2:9" ht="12.75" hidden="1">
      <c r="B367" s="22"/>
      <c r="C367" s="22"/>
      <c r="D367" s="22"/>
      <c r="E367" s="22"/>
      <c r="F367" s="22"/>
      <c r="G367" s="22"/>
      <c r="H367" s="22"/>
      <c r="I367" s="22"/>
    </row>
    <row r="368" spans="2:9" ht="12.75" hidden="1">
      <c r="B368" s="22"/>
      <c r="C368" s="22"/>
      <c r="D368" s="22"/>
      <c r="E368" s="22"/>
      <c r="F368" s="22"/>
      <c r="G368" s="22"/>
      <c r="H368" s="22"/>
      <c r="I368" s="22"/>
    </row>
    <row r="369" spans="2:9" ht="12.75" hidden="1">
      <c r="B369" s="22"/>
      <c r="C369" s="22"/>
      <c r="D369" s="22"/>
      <c r="E369" s="22"/>
      <c r="F369" s="22"/>
      <c r="G369" s="22"/>
      <c r="H369" s="22"/>
      <c r="I369" s="22"/>
    </row>
    <row r="370" spans="2:9" ht="12.75" hidden="1">
      <c r="B370" s="22"/>
      <c r="C370" s="22"/>
      <c r="D370" s="22"/>
      <c r="E370" s="22"/>
      <c r="F370" s="22"/>
      <c r="G370" s="22"/>
      <c r="H370" s="22"/>
      <c r="I370" s="22"/>
    </row>
    <row r="371" spans="2:9" ht="12.75" hidden="1">
      <c r="B371" s="22"/>
      <c r="C371" s="22"/>
      <c r="D371" s="22"/>
      <c r="E371" s="22"/>
      <c r="F371" s="22"/>
      <c r="G371" s="22"/>
      <c r="H371" s="22"/>
      <c r="I371" s="22"/>
    </row>
    <row r="372" spans="2:9" ht="12.75" hidden="1">
      <c r="B372" s="22"/>
      <c r="C372" s="22"/>
      <c r="D372" s="22"/>
      <c r="E372" s="22"/>
      <c r="F372" s="22"/>
      <c r="G372" s="22"/>
      <c r="H372" s="22"/>
      <c r="I372" s="22"/>
    </row>
    <row r="373" spans="2:9" ht="12.75" hidden="1">
      <c r="B373" s="22"/>
      <c r="C373" s="22"/>
      <c r="D373" s="22"/>
      <c r="E373" s="22"/>
      <c r="F373" s="22"/>
      <c r="G373" s="22"/>
      <c r="H373" s="22"/>
      <c r="I373" s="22"/>
    </row>
    <row r="374" spans="2:9" ht="12.75" hidden="1">
      <c r="B374" s="22"/>
      <c r="C374" s="22"/>
      <c r="D374" s="22"/>
      <c r="E374" s="22"/>
      <c r="F374" s="22"/>
      <c r="G374" s="22"/>
      <c r="H374" s="22"/>
      <c r="I374" s="22"/>
    </row>
    <row r="375" spans="2:9" ht="12.75" hidden="1">
      <c r="B375" s="22"/>
      <c r="C375" s="22"/>
      <c r="D375" s="22"/>
      <c r="E375" s="22"/>
      <c r="F375" s="22"/>
      <c r="G375" s="22"/>
      <c r="H375" s="22"/>
      <c r="I375" s="22"/>
    </row>
    <row r="376" spans="2:9" ht="12.75" hidden="1">
      <c r="B376" s="22"/>
      <c r="C376" s="22"/>
      <c r="D376" s="22"/>
      <c r="E376" s="22"/>
      <c r="F376" s="22"/>
      <c r="G376" s="22"/>
      <c r="H376" s="22"/>
      <c r="I376" s="22"/>
    </row>
    <row r="377" spans="2:9" ht="12.75" hidden="1">
      <c r="B377" s="22"/>
      <c r="C377" s="22"/>
      <c r="D377" s="22"/>
      <c r="E377" s="22"/>
      <c r="F377" s="22"/>
      <c r="G377" s="22"/>
      <c r="H377" s="22"/>
      <c r="I377" s="22"/>
    </row>
    <row r="378" spans="2:9" ht="12.75" hidden="1">
      <c r="B378" s="22"/>
      <c r="C378" s="22"/>
      <c r="D378" s="22"/>
      <c r="E378" s="22"/>
      <c r="F378" s="22"/>
      <c r="G378" s="22"/>
      <c r="H378" s="22"/>
      <c r="I378" s="22"/>
    </row>
    <row r="379" spans="2:9" ht="12.75" hidden="1">
      <c r="B379" s="22"/>
      <c r="C379" s="22"/>
      <c r="D379" s="22"/>
      <c r="E379" s="22"/>
      <c r="F379" s="22"/>
      <c r="G379" s="22"/>
      <c r="H379" s="22"/>
      <c r="I379" s="22"/>
    </row>
    <row r="380" spans="2:9" ht="12.75" hidden="1">
      <c r="B380" s="22"/>
      <c r="C380" s="22"/>
      <c r="D380" s="22"/>
      <c r="E380" s="22"/>
      <c r="F380" s="22"/>
      <c r="G380" s="22"/>
      <c r="H380" s="22"/>
      <c r="I380" s="22"/>
    </row>
    <row r="381" spans="2:9" ht="12.75" hidden="1">
      <c r="B381" s="22"/>
      <c r="C381" s="22"/>
      <c r="D381" s="22"/>
      <c r="E381" s="22"/>
      <c r="F381" s="22"/>
      <c r="G381" s="22"/>
      <c r="H381" s="22"/>
      <c r="I381" s="22"/>
    </row>
    <row r="382" spans="2:9" ht="12.75" hidden="1">
      <c r="B382" s="22"/>
      <c r="C382" s="22"/>
      <c r="D382" s="22"/>
      <c r="E382" s="22"/>
      <c r="F382" s="22"/>
      <c r="G382" s="22"/>
      <c r="H382" s="22"/>
      <c r="I382" s="22"/>
    </row>
    <row r="383" spans="2:9" ht="12.75" hidden="1">
      <c r="B383" s="22"/>
      <c r="C383" s="22"/>
      <c r="D383" s="22"/>
      <c r="E383" s="22"/>
      <c r="F383" s="22"/>
      <c r="G383" s="22"/>
      <c r="H383" s="22"/>
      <c r="I383" s="22"/>
    </row>
    <row r="384" spans="2:9" ht="12.75" hidden="1">
      <c r="B384" s="22"/>
      <c r="C384" s="22"/>
      <c r="D384" s="22"/>
      <c r="E384" s="22"/>
      <c r="F384" s="22"/>
      <c r="G384" s="22"/>
      <c r="H384" s="22"/>
      <c r="I384" s="22"/>
    </row>
    <row r="385" spans="2:9" ht="12.75" hidden="1">
      <c r="B385" s="22"/>
      <c r="C385" s="22"/>
      <c r="D385" s="22"/>
      <c r="E385" s="22"/>
      <c r="F385" s="22"/>
      <c r="G385" s="22"/>
      <c r="H385" s="22"/>
      <c r="I385" s="22"/>
    </row>
    <row r="386" spans="2:9" ht="12.75" hidden="1">
      <c r="B386" s="22"/>
      <c r="C386" s="22"/>
      <c r="D386" s="22"/>
      <c r="E386" s="22"/>
      <c r="F386" s="22"/>
      <c r="G386" s="22"/>
      <c r="H386" s="22"/>
      <c r="I386" s="22"/>
    </row>
    <row r="387" spans="2:9" ht="12.75" hidden="1">
      <c r="B387" s="22"/>
      <c r="C387" s="22"/>
      <c r="D387" s="22"/>
      <c r="E387" s="22"/>
      <c r="F387" s="22"/>
      <c r="G387" s="22"/>
      <c r="H387" s="22"/>
      <c r="I387" s="22"/>
    </row>
    <row r="388" spans="2:9" ht="12.75" hidden="1">
      <c r="B388" s="22"/>
      <c r="C388" s="22"/>
      <c r="D388" s="22"/>
      <c r="E388" s="22"/>
      <c r="F388" s="22"/>
      <c r="G388" s="22"/>
      <c r="H388" s="22"/>
      <c r="I388" s="22"/>
    </row>
    <row r="389" spans="2:9" ht="12.75" hidden="1">
      <c r="B389" s="22"/>
      <c r="C389" s="22"/>
      <c r="D389" s="22"/>
      <c r="E389" s="22"/>
      <c r="F389" s="22"/>
      <c r="G389" s="22"/>
      <c r="H389" s="22"/>
      <c r="I389" s="22"/>
    </row>
    <row r="390" spans="2:9" ht="12.75" hidden="1">
      <c r="B390" s="22"/>
      <c r="C390" s="22"/>
      <c r="D390" s="22"/>
      <c r="E390" s="22"/>
      <c r="F390" s="22"/>
      <c r="G390" s="22"/>
      <c r="H390" s="22"/>
      <c r="I390" s="22"/>
    </row>
    <row r="391" spans="2:9" ht="12.75" hidden="1">
      <c r="B391" s="22"/>
      <c r="C391" s="22"/>
      <c r="D391" s="22"/>
      <c r="E391" s="22"/>
      <c r="F391" s="22"/>
      <c r="G391" s="22"/>
      <c r="H391" s="22"/>
      <c r="I391" s="22"/>
    </row>
    <row r="392" spans="2:9" ht="12.75" hidden="1">
      <c r="B392" s="22"/>
      <c r="C392" s="22"/>
      <c r="D392" s="22"/>
      <c r="E392" s="22"/>
      <c r="F392" s="22"/>
      <c r="G392" s="22"/>
      <c r="H392" s="22"/>
      <c r="I392" s="22"/>
    </row>
    <row r="393" spans="2:9" ht="12.75" hidden="1">
      <c r="B393" s="22"/>
      <c r="C393" s="22"/>
      <c r="D393" s="22"/>
      <c r="E393" s="22"/>
      <c r="F393" s="22"/>
      <c r="G393" s="22"/>
      <c r="H393" s="22"/>
      <c r="I393" s="22"/>
    </row>
    <row r="394" spans="2:9" ht="12.75" hidden="1">
      <c r="B394" s="22"/>
      <c r="C394" s="22"/>
      <c r="D394" s="22"/>
      <c r="E394" s="22"/>
      <c r="F394" s="22"/>
      <c r="G394" s="22"/>
      <c r="H394" s="22"/>
      <c r="I394" s="22"/>
    </row>
    <row r="395" spans="2:9" ht="12.75" hidden="1">
      <c r="B395" s="22"/>
      <c r="C395" s="22"/>
      <c r="D395" s="22"/>
      <c r="E395" s="22"/>
      <c r="F395" s="22"/>
      <c r="G395" s="22"/>
      <c r="H395" s="22"/>
      <c r="I395" s="22"/>
    </row>
    <row r="396" spans="2:9" ht="12.75" hidden="1">
      <c r="B396" s="22"/>
      <c r="C396" s="22"/>
      <c r="D396" s="22"/>
      <c r="E396" s="22"/>
      <c r="F396" s="22"/>
      <c r="G396" s="22"/>
      <c r="H396" s="22"/>
      <c r="I396" s="22"/>
    </row>
    <row r="397" spans="2:9" ht="12.75" hidden="1">
      <c r="B397" s="22"/>
      <c r="C397" s="22"/>
      <c r="D397" s="22"/>
      <c r="E397" s="22"/>
      <c r="F397" s="22"/>
      <c r="G397" s="22"/>
      <c r="H397" s="22"/>
      <c r="I397" s="22"/>
    </row>
    <row r="398" spans="2:9" ht="12.75" hidden="1">
      <c r="B398" s="22"/>
      <c r="C398" s="22"/>
      <c r="D398" s="22"/>
      <c r="E398" s="22"/>
      <c r="F398" s="22"/>
      <c r="G398" s="22"/>
      <c r="H398" s="22"/>
      <c r="I398" s="22"/>
    </row>
    <row r="399" spans="2:9" ht="12.75" hidden="1">
      <c r="B399" s="22"/>
      <c r="C399" s="22"/>
      <c r="D399" s="22"/>
      <c r="E399" s="22"/>
      <c r="F399" s="22"/>
      <c r="G399" s="22"/>
      <c r="H399" s="22"/>
      <c r="I399" s="22"/>
    </row>
    <row r="400" spans="2:9" ht="12.75" hidden="1">
      <c r="B400" s="22"/>
      <c r="C400" s="22"/>
      <c r="D400" s="22"/>
      <c r="E400" s="22"/>
      <c r="F400" s="22"/>
      <c r="G400" s="22"/>
      <c r="H400" s="22"/>
      <c r="I400" s="22"/>
    </row>
    <row r="401" spans="2:9" ht="12.75" hidden="1">
      <c r="B401" s="22"/>
      <c r="C401" s="22"/>
      <c r="D401" s="22"/>
      <c r="E401" s="22"/>
      <c r="F401" s="22"/>
      <c r="G401" s="22"/>
      <c r="H401" s="22"/>
      <c r="I401" s="22"/>
    </row>
    <row r="402" spans="2:9" ht="12.75" hidden="1">
      <c r="B402" s="22"/>
      <c r="C402" s="22"/>
      <c r="D402" s="22"/>
      <c r="E402" s="22"/>
      <c r="F402" s="22"/>
      <c r="G402" s="22"/>
      <c r="H402" s="22"/>
      <c r="I402" s="22"/>
    </row>
    <row r="403" spans="2:9" ht="12.75" hidden="1">
      <c r="B403" s="22"/>
      <c r="C403" s="22"/>
      <c r="D403" s="22"/>
      <c r="E403" s="22"/>
      <c r="F403" s="22"/>
      <c r="G403" s="22"/>
      <c r="H403" s="22"/>
      <c r="I403" s="22"/>
    </row>
    <row r="404" spans="2:9" ht="12.75" hidden="1">
      <c r="B404" s="22"/>
      <c r="C404" s="22"/>
      <c r="D404" s="22"/>
      <c r="E404" s="22"/>
      <c r="F404" s="22"/>
      <c r="G404" s="22"/>
      <c r="H404" s="22"/>
      <c r="I404" s="22"/>
    </row>
    <row r="405" spans="2:9" ht="12.75" hidden="1">
      <c r="B405" s="22"/>
      <c r="C405" s="22"/>
      <c r="D405" s="22"/>
      <c r="E405" s="22"/>
      <c r="F405" s="22"/>
      <c r="G405" s="22"/>
      <c r="H405" s="22"/>
      <c r="I405" s="22"/>
    </row>
    <row r="406" spans="2:9" ht="12.75" hidden="1">
      <c r="B406" s="22"/>
      <c r="C406" s="22"/>
      <c r="D406" s="22"/>
      <c r="E406" s="22"/>
      <c r="F406" s="22"/>
      <c r="G406" s="22"/>
      <c r="H406" s="22"/>
      <c r="I406" s="22"/>
    </row>
    <row r="407" spans="2:9" ht="12.75" hidden="1">
      <c r="B407" s="22"/>
      <c r="C407" s="22"/>
      <c r="D407" s="22"/>
      <c r="E407" s="22"/>
      <c r="F407" s="22"/>
      <c r="G407" s="22"/>
      <c r="H407" s="22"/>
      <c r="I407" s="22"/>
    </row>
    <row r="408" spans="2:9" ht="12.75" hidden="1">
      <c r="B408" s="22"/>
      <c r="C408" s="22"/>
      <c r="D408" s="22"/>
      <c r="E408" s="22"/>
      <c r="F408" s="22"/>
      <c r="G408" s="22"/>
      <c r="H408" s="22"/>
      <c r="I408" s="22"/>
    </row>
    <row r="409" spans="2:9" ht="12.75" hidden="1">
      <c r="B409" s="22"/>
      <c r="C409" s="22"/>
      <c r="D409" s="22"/>
      <c r="E409" s="22"/>
      <c r="F409" s="22"/>
      <c r="G409" s="22"/>
      <c r="H409" s="22"/>
      <c r="I409" s="22"/>
    </row>
    <row r="410" spans="2:9" ht="12.75" hidden="1">
      <c r="B410" s="22"/>
      <c r="C410" s="22"/>
      <c r="D410" s="22"/>
      <c r="E410" s="22"/>
      <c r="F410" s="22"/>
      <c r="G410" s="22"/>
      <c r="H410" s="22"/>
      <c r="I410" s="22"/>
    </row>
    <row r="411" spans="2:9" ht="12.75" hidden="1">
      <c r="B411" s="22"/>
      <c r="C411" s="22"/>
      <c r="D411" s="22"/>
      <c r="E411" s="22"/>
      <c r="F411" s="22"/>
      <c r="G411" s="22"/>
      <c r="H411" s="22"/>
      <c r="I411" s="22"/>
    </row>
    <row r="412" spans="2:9" ht="12.75" hidden="1">
      <c r="B412" s="22"/>
      <c r="C412" s="22"/>
      <c r="D412" s="22"/>
      <c r="E412" s="22"/>
      <c r="F412" s="22"/>
      <c r="G412" s="22"/>
      <c r="H412" s="22"/>
      <c r="I412" s="22"/>
    </row>
    <row r="413" spans="2:9" ht="12.75" hidden="1">
      <c r="B413" s="22"/>
      <c r="C413" s="22"/>
      <c r="D413" s="22"/>
      <c r="E413" s="22"/>
      <c r="F413" s="22"/>
      <c r="G413" s="22"/>
      <c r="H413" s="22"/>
      <c r="I413" s="22"/>
    </row>
    <row r="414" spans="2:9" ht="12.75" hidden="1">
      <c r="B414" s="22"/>
      <c r="C414" s="22"/>
      <c r="D414" s="22"/>
      <c r="E414" s="22"/>
      <c r="F414" s="22"/>
      <c r="G414" s="22"/>
      <c r="H414" s="22"/>
      <c r="I414" s="22"/>
    </row>
    <row r="415" spans="2:9" ht="12.75" hidden="1">
      <c r="B415" s="22"/>
      <c r="C415" s="22"/>
      <c r="D415" s="22"/>
      <c r="E415" s="22"/>
      <c r="F415" s="22"/>
      <c r="G415" s="22"/>
      <c r="H415" s="22"/>
      <c r="I415" s="22"/>
    </row>
    <row r="416" spans="2:9" ht="12.75" hidden="1">
      <c r="B416" s="22"/>
      <c r="C416" s="22"/>
      <c r="D416" s="22"/>
      <c r="E416" s="22"/>
      <c r="F416" s="22"/>
      <c r="G416" s="22"/>
      <c r="H416" s="22"/>
      <c r="I416" s="22"/>
    </row>
    <row r="417" spans="2:9" ht="12.75" hidden="1">
      <c r="B417" s="22"/>
      <c r="C417" s="22"/>
      <c r="D417" s="22"/>
      <c r="E417" s="22"/>
      <c r="F417" s="22"/>
      <c r="G417" s="22"/>
      <c r="H417" s="22"/>
      <c r="I417" s="22"/>
    </row>
    <row r="418" spans="2:9" ht="12.75" hidden="1">
      <c r="B418" s="22"/>
      <c r="C418" s="22"/>
      <c r="D418" s="22"/>
      <c r="E418" s="22"/>
      <c r="F418" s="22"/>
      <c r="G418" s="22"/>
      <c r="H418" s="22"/>
      <c r="I418" s="22"/>
    </row>
    <row r="419" spans="2:9" ht="12.75" hidden="1">
      <c r="B419" s="22"/>
      <c r="C419" s="22"/>
      <c r="D419" s="22"/>
      <c r="E419" s="22"/>
      <c r="F419" s="22"/>
      <c r="G419" s="22"/>
      <c r="H419" s="22"/>
      <c r="I419" s="22"/>
    </row>
    <row r="420" spans="2:9" ht="12.75" hidden="1">
      <c r="B420" s="22"/>
      <c r="C420" s="22"/>
      <c r="D420" s="22"/>
      <c r="E420" s="22"/>
      <c r="F420" s="22"/>
      <c r="G420" s="22"/>
      <c r="H420" s="22"/>
      <c r="I420" s="22"/>
    </row>
    <row r="421" spans="2:9" ht="12.75" hidden="1">
      <c r="B421" s="22"/>
      <c r="C421" s="22"/>
      <c r="D421" s="22"/>
      <c r="E421" s="22"/>
      <c r="F421" s="22"/>
      <c r="G421" s="22"/>
      <c r="H421" s="22"/>
      <c r="I421" s="22"/>
    </row>
    <row r="422" spans="2:9" ht="12.75" hidden="1">
      <c r="B422" s="22"/>
      <c r="C422" s="22"/>
      <c r="D422" s="22"/>
      <c r="E422" s="22"/>
      <c r="F422" s="22"/>
      <c r="G422" s="22"/>
      <c r="H422" s="22"/>
      <c r="I422" s="22"/>
    </row>
    <row r="423" spans="2:9" ht="12.75" hidden="1">
      <c r="B423" s="22"/>
      <c r="C423" s="22"/>
      <c r="D423" s="22"/>
      <c r="E423" s="22"/>
      <c r="F423" s="22"/>
      <c r="G423" s="22"/>
      <c r="H423" s="22"/>
      <c r="I423" s="22"/>
    </row>
    <row r="424" spans="2:9" ht="12.75" hidden="1">
      <c r="B424" s="22"/>
      <c r="C424" s="22"/>
      <c r="D424" s="22"/>
      <c r="E424" s="22"/>
      <c r="F424" s="22"/>
      <c r="G424" s="22"/>
      <c r="H424" s="22"/>
      <c r="I424" s="22"/>
    </row>
    <row r="425" spans="2:9" ht="12.75" hidden="1">
      <c r="B425" s="22"/>
      <c r="C425" s="22"/>
      <c r="D425" s="22"/>
      <c r="E425" s="22"/>
      <c r="F425" s="22"/>
      <c r="G425" s="22"/>
      <c r="H425" s="22"/>
      <c r="I425" s="22"/>
    </row>
    <row r="426" spans="2:9" ht="12.75" hidden="1">
      <c r="B426" s="22"/>
      <c r="C426" s="22"/>
      <c r="D426" s="22"/>
      <c r="E426" s="22"/>
      <c r="F426" s="22"/>
      <c r="G426" s="22"/>
      <c r="H426" s="22"/>
      <c r="I426" s="22"/>
    </row>
    <row r="427" spans="2:9" ht="12.75" hidden="1">
      <c r="B427" s="22"/>
      <c r="C427" s="22"/>
      <c r="D427" s="22"/>
      <c r="E427" s="22"/>
      <c r="F427" s="22"/>
      <c r="G427" s="22"/>
      <c r="H427" s="22"/>
      <c r="I427" s="22"/>
    </row>
    <row r="428" spans="2:9" ht="12.75" hidden="1">
      <c r="B428" s="22"/>
      <c r="C428" s="22"/>
      <c r="D428" s="22"/>
      <c r="E428" s="22"/>
      <c r="F428" s="22"/>
      <c r="G428" s="22"/>
      <c r="H428" s="22"/>
      <c r="I428" s="22"/>
    </row>
    <row r="429" spans="2:9" ht="12.75" hidden="1">
      <c r="B429" s="22"/>
      <c r="C429" s="22"/>
      <c r="D429" s="22"/>
      <c r="E429" s="22"/>
      <c r="F429" s="22"/>
      <c r="G429" s="22"/>
      <c r="H429" s="22"/>
      <c r="I429" s="22"/>
    </row>
    <row r="430" spans="2:9" ht="12.75" hidden="1">
      <c r="B430" s="22"/>
      <c r="C430" s="22"/>
      <c r="D430" s="22"/>
      <c r="E430" s="22"/>
      <c r="F430" s="22"/>
      <c r="G430" s="22"/>
      <c r="H430" s="22"/>
      <c r="I430" s="22"/>
    </row>
    <row r="431" spans="2:9" ht="12.75" hidden="1">
      <c r="B431" s="22"/>
      <c r="C431" s="22"/>
      <c r="D431" s="22"/>
      <c r="E431" s="22"/>
      <c r="F431" s="22"/>
      <c r="G431" s="22"/>
      <c r="H431" s="22"/>
      <c r="I431" s="22"/>
    </row>
    <row r="432" spans="2:9" ht="12.75" hidden="1">
      <c r="B432" s="22"/>
      <c r="C432" s="22"/>
      <c r="D432" s="22"/>
      <c r="E432" s="22"/>
      <c r="F432" s="22"/>
      <c r="G432" s="22"/>
      <c r="H432" s="22"/>
      <c r="I432" s="22"/>
    </row>
    <row r="433" spans="2:9" ht="12.75" hidden="1">
      <c r="B433" s="22"/>
      <c r="C433" s="22"/>
      <c r="D433" s="22"/>
      <c r="E433" s="22"/>
      <c r="F433" s="22"/>
      <c r="G433" s="22"/>
      <c r="H433" s="22"/>
      <c r="I433" s="22"/>
    </row>
    <row r="434" spans="2:9" ht="12.75" hidden="1">
      <c r="B434" s="22"/>
      <c r="C434" s="22"/>
      <c r="D434" s="22"/>
      <c r="E434" s="22"/>
      <c r="F434" s="22"/>
      <c r="G434" s="22"/>
      <c r="H434" s="22"/>
      <c r="I434" s="22"/>
    </row>
    <row r="435" spans="2:9" ht="12.75" hidden="1">
      <c r="B435" s="22"/>
      <c r="C435" s="22"/>
      <c r="D435" s="22"/>
      <c r="E435" s="22"/>
      <c r="F435" s="22"/>
      <c r="G435" s="22"/>
      <c r="H435" s="22"/>
      <c r="I435" s="22"/>
    </row>
    <row r="436" spans="2:9" ht="12.75" hidden="1">
      <c r="B436" s="22"/>
      <c r="C436" s="22"/>
      <c r="D436" s="22"/>
      <c r="E436" s="22"/>
      <c r="F436" s="22"/>
      <c r="G436" s="22"/>
      <c r="H436" s="22"/>
      <c r="I436" s="22"/>
    </row>
    <row r="437" spans="2:9" ht="12.75" hidden="1">
      <c r="B437" s="22"/>
      <c r="C437" s="22"/>
      <c r="D437" s="22"/>
      <c r="E437" s="22"/>
      <c r="F437" s="22"/>
      <c r="G437" s="22"/>
      <c r="H437" s="22"/>
      <c r="I437" s="22"/>
    </row>
    <row r="438" spans="2:9" ht="12.75" hidden="1">
      <c r="B438" s="22"/>
      <c r="C438" s="22"/>
      <c r="D438" s="22"/>
      <c r="E438" s="22"/>
      <c r="F438" s="22"/>
      <c r="G438" s="22"/>
      <c r="H438" s="22"/>
      <c r="I438" s="22"/>
    </row>
    <row r="439" spans="2:9" ht="12.75" hidden="1">
      <c r="B439" s="22"/>
      <c r="C439" s="22"/>
      <c r="D439" s="22"/>
      <c r="E439" s="22"/>
      <c r="F439" s="22"/>
      <c r="G439" s="22"/>
      <c r="H439" s="22"/>
      <c r="I439" s="22"/>
    </row>
    <row r="440" spans="2:9" ht="12.75" hidden="1">
      <c r="B440" s="22"/>
      <c r="C440" s="22"/>
      <c r="D440" s="22"/>
      <c r="E440" s="22"/>
      <c r="F440" s="22"/>
      <c r="G440" s="22"/>
      <c r="H440" s="22"/>
      <c r="I440" s="22"/>
    </row>
    <row r="441" spans="2:9" ht="12.75" hidden="1">
      <c r="B441" s="22"/>
      <c r="C441" s="22"/>
      <c r="D441" s="22"/>
      <c r="E441" s="22"/>
      <c r="F441" s="22"/>
      <c r="G441" s="22"/>
      <c r="H441" s="22"/>
      <c r="I441" s="22"/>
    </row>
    <row r="442" spans="2:9" ht="12.75" hidden="1">
      <c r="B442" s="22"/>
      <c r="C442" s="22"/>
      <c r="D442" s="22"/>
      <c r="E442" s="22"/>
      <c r="F442" s="22"/>
      <c r="G442" s="22"/>
      <c r="H442" s="22"/>
      <c r="I442" s="22"/>
    </row>
    <row r="443" spans="2:9" ht="12.75" hidden="1">
      <c r="B443" s="22"/>
      <c r="C443" s="22"/>
      <c r="D443" s="22"/>
      <c r="E443" s="22"/>
      <c r="F443" s="22"/>
      <c r="G443" s="22"/>
      <c r="H443" s="22"/>
      <c r="I443" s="22"/>
    </row>
    <row r="444" spans="2:9" ht="12.75" hidden="1">
      <c r="B444" s="22"/>
      <c r="C444" s="22"/>
      <c r="D444" s="22"/>
      <c r="E444" s="22"/>
      <c r="F444" s="22"/>
      <c r="G444" s="22"/>
      <c r="H444" s="22"/>
      <c r="I444" s="22"/>
    </row>
    <row r="445" spans="2:9" ht="12.75" hidden="1">
      <c r="B445" s="22"/>
      <c r="C445" s="22"/>
      <c r="D445" s="22"/>
      <c r="E445" s="22"/>
      <c r="F445" s="22"/>
      <c r="G445" s="22"/>
      <c r="H445" s="22"/>
      <c r="I445" s="22"/>
    </row>
    <row r="446" spans="2:9" ht="12.75" hidden="1">
      <c r="B446" s="22"/>
      <c r="C446" s="22"/>
      <c r="D446" s="22"/>
      <c r="E446" s="22"/>
      <c r="F446" s="22"/>
      <c r="G446" s="22"/>
      <c r="H446" s="22"/>
      <c r="I446" s="22"/>
    </row>
    <row r="447" spans="2:9" ht="12.75" hidden="1">
      <c r="B447" s="22"/>
      <c r="C447" s="22"/>
      <c r="D447" s="22"/>
      <c r="E447" s="22"/>
      <c r="F447" s="22"/>
      <c r="G447" s="22"/>
      <c r="H447" s="22"/>
      <c r="I447" s="22"/>
    </row>
    <row r="448" spans="2:9" ht="12.75" hidden="1">
      <c r="B448" s="22"/>
      <c r="C448" s="22"/>
      <c r="D448" s="22"/>
      <c r="E448" s="22"/>
      <c r="F448" s="22"/>
      <c r="G448" s="22"/>
      <c r="H448" s="22"/>
      <c r="I448" s="22"/>
    </row>
    <row r="449" spans="2:9" ht="12.75" hidden="1">
      <c r="B449" s="22"/>
      <c r="C449" s="22"/>
      <c r="D449" s="22"/>
      <c r="E449" s="22"/>
      <c r="F449" s="22"/>
      <c r="G449" s="22"/>
      <c r="H449" s="22"/>
      <c r="I449" s="22"/>
    </row>
    <row r="450" spans="2:9" ht="12.75" hidden="1">
      <c r="B450" s="22"/>
      <c r="C450" s="22"/>
      <c r="D450" s="22"/>
      <c r="E450" s="22"/>
      <c r="F450" s="22"/>
      <c r="G450" s="22"/>
      <c r="H450" s="22"/>
      <c r="I450" s="22"/>
    </row>
    <row r="451" spans="2:9" ht="12.75" hidden="1">
      <c r="B451" s="22"/>
      <c r="C451" s="22"/>
      <c r="D451" s="22"/>
      <c r="E451" s="22"/>
      <c r="F451" s="22"/>
      <c r="G451" s="22"/>
      <c r="H451" s="22"/>
      <c r="I451" s="22"/>
    </row>
    <row r="452" spans="2:9" ht="12.75" hidden="1">
      <c r="B452" s="22"/>
      <c r="C452" s="22"/>
      <c r="D452" s="22"/>
      <c r="E452" s="22"/>
      <c r="F452" s="22"/>
      <c r="G452" s="22"/>
      <c r="H452" s="22"/>
      <c r="I452" s="22"/>
    </row>
    <row r="453" spans="2:9" ht="12.75" hidden="1">
      <c r="B453" s="22"/>
      <c r="C453" s="22"/>
      <c r="D453" s="22"/>
      <c r="E453" s="22"/>
      <c r="F453" s="22"/>
      <c r="G453" s="22"/>
      <c r="H453" s="22"/>
      <c r="I453" s="22"/>
    </row>
    <row r="454" spans="2:9" ht="12.75" hidden="1">
      <c r="B454" s="22"/>
      <c r="C454" s="22"/>
      <c r="D454" s="22"/>
      <c r="E454" s="22"/>
      <c r="F454" s="22"/>
      <c r="G454" s="22"/>
      <c r="H454" s="22"/>
      <c r="I454" s="22"/>
    </row>
    <row r="455" spans="2:9" ht="12.75" hidden="1">
      <c r="B455" s="22"/>
      <c r="C455" s="22"/>
      <c r="D455" s="22"/>
      <c r="E455" s="22"/>
      <c r="F455" s="22"/>
      <c r="G455" s="22"/>
      <c r="H455" s="22"/>
      <c r="I455" s="22"/>
    </row>
    <row r="456" spans="2:9" ht="12.75" hidden="1">
      <c r="B456" s="22"/>
      <c r="C456" s="22"/>
      <c r="D456" s="22"/>
      <c r="E456" s="22"/>
      <c r="F456" s="22"/>
      <c r="G456" s="22"/>
      <c r="H456" s="22"/>
      <c r="I456" s="22"/>
    </row>
    <row r="457" spans="2:9" ht="12.75" hidden="1">
      <c r="B457" s="22"/>
      <c r="C457" s="22"/>
      <c r="D457" s="22"/>
      <c r="E457" s="22"/>
      <c r="F457" s="22"/>
      <c r="G457" s="22"/>
      <c r="H457" s="22"/>
      <c r="I457" s="22"/>
    </row>
    <row r="458" spans="2:9" ht="12.75" hidden="1">
      <c r="B458" s="22"/>
      <c r="C458" s="22"/>
      <c r="D458" s="22"/>
      <c r="E458" s="22"/>
      <c r="F458" s="22"/>
      <c r="G458" s="22"/>
      <c r="H458" s="22"/>
      <c r="I458" s="22"/>
    </row>
    <row r="459" spans="2:9" ht="12.75" hidden="1">
      <c r="B459" s="22"/>
      <c r="C459" s="22"/>
      <c r="D459" s="22"/>
      <c r="E459" s="22"/>
      <c r="F459" s="22"/>
      <c r="G459" s="22"/>
      <c r="H459" s="22"/>
      <c r="I459" s="22"/>
    </row>
    <row r="460" spans="2:9" ht="12.75" hidden="1">
      <c r="B460" s="22"/>
      <c r="C460" s="22"/>
      <c r="D460" s="22"/>
      <c r="E460" s="22"/>
      <c r="F460" s="22"/>
      <c r="G460" s="22"/>
      <c r="H460" s="22"/>
      <c r="I460" s="22"/>
    </row>
    <row r="461" spans="2:9" ht="12.75" hidden="1">
      <c r="B461" s="22"/>
      <c r="C461" s="22"/>
      <c r="D461" s="22"/>
      <c r="E461" s="22"/>
      <c r="F461" s="22"/>
      <c r="G461" s="22"/>
      <c r="H461" s="22"/>
      <c r="I461" s="22"/>
    </row>
    <row r="462" spans="2:9" ht="12.75" hidden="1">
      <c r="B462" s="22"/>
      <c r="C462" s="22"/>
      <c r="D462" s="22"/>
      <c r="E462" s="22"/>
      <c r="F462" s="22"/>
      <c r="G462" s="22"/>
      <c r="H462" s="22"/>
      <c r="I462" s="22"/>
    </row>
    <row r="463" spans="2:9" ht="12.75" hidden="1">
      <c r="B463" s="22"/>
      <c r="C463" s="22"/>
      <c r="D463" s="22"/>
      <c r="E463" s="22"/>
      <c r="F463" s="22"/>
      <c r="G463" s="22"/>
      <c r="H463" s="22"/>
      <c r="I463" s="22"/>
    </row>
    <row r="464" spans="2:9" ht="12.75" hidden="1">
      <c r="B464" s="22"/>
      <c r="C464" s="22"/>
      <c r="D464" s="22"/>
      <c r="E464" s="22"/>
      <c r="F464" s="22"/>
      <c r="G464" s="22"/>
      <c r="H464" s="22"/>
      <c r="I464" s="22"/>
    </row>
    <row r="465" spans="2:9" ht="12.75" hidden="1">
      <c r="B465" s="22"/>
      <c r="C465" s="22"/>
      <c r="D465" s="22"/>
      <c r="E465" s="22"/>
      <c r="F465" s="22"/>
      <c r="G465" s="22"/>
      <c r="H465" s="22"/>
      <c r="I465" s="22"/>
    </row>
    <row r="466" spans="2:9" ht="12.75" hidden="1">
      <c r="B466" s="22"/>
      <c r="C466" s="22"/>
      <c r="D466" s="22"/>
      <c r="E466" s="22"/>
      <c r="F466" s="22"/>
      <c r="G466" s="22"/>
      <c r="H466" s="22"/>
      <c r="I466" s="22"/>
    </row>
    <row r="467" spans="2:9" ht="12.75" hidden="1">
      <c r="B467" s="22"/>
      <c r="C467" s="22"/>
      <c r="D467" s="22"/>
      <c r="E467" s="22"/>
      <c r="F467" s="22"/>
      <c r="G467" s="22"/>
      <c r="H467" s="22"/>
      <c r="I467" s="22"/>
    </row>
    <row r="468" spans="2:9" ht="12.75" hidden="1">
      <c r="B468" s="22"/>
      <c r="C468" s="22"/>
      <c r="D468" s="22"/>
      <c r="E468" s="22"/>
      <c r="F468" s="22"/>
      <c r="G468" s="22"/>
      <c r="H468" s="22"/>
      <c r="I468" s="22"/>
    </row>
    <row r="469" spans="2:9" ht="12.75" hidden="1">
      <c r="B469" s="22"/>
      <c r="C469" s="22"/>
      <c r="D469" s="22"/>
      <c r="E469" s="22"/>
      <c r="F469" s="22"/>
      <c r="G469" s="22"/>
      <c r="H469" s="22"/>
      <c r="I469" s="22"/>
    </row>
    <row r="470" spans="2:9" ht="12.75" hidden="1">
      <c r="B470" s="22"/>
      <c r="C470" s="22"/>
      <c r="D470" s="22"/>
      <c r="E470" s="22"/>
      <c r="F470" s="22"/>
      <c r="G470" s="22"/>
      <c r="H470" s="22"/>
      <c r="I470" s="22"/>
    </row>
    <row r="471" spans="2:9" ht="12.75" hidden="1">
      <c r="B471" s="22"/>
      <c r="C471" s="22"/>
      <c r="D471" s="22"/>
      <c r="E471" s="22"/>
      <c r="F471" s="22"/>
      <c r="G471" s="22"/>
      <c r="H471" s="22"/>
      <c r="I471" s="22"/>
    </row>
    <row r="472" spans="2:9" ht="12.75" hidden="1">
      <c r="B472" s="22"/>
      <c r="C472" s="22"/>
      <c r="D472" s="22"/>
      <c r="E472" s="22"/>
      <c r="F472" s="22"/>
      <c r="G472" s="22"/>
      <c r="H472" s="22"/>
      <c r="I472" s="22"/>
    </row>
    <row r="473" spans="2:9" ht="12.75" hidden="1">
      <c r="B473" s="22"/>
      <c r="C473" s="22"/>
      <c r="D473" s="22"/>
      <c r="E473" s="22"/>
      <c r="F473" s="22"/>
      <c r="G473" s="22"/>
      <c r="H473" s="22"/>
      <c r="I473" s="22"/>
    </row>
    <row r="474" spans="2:9" ht="12.75" hidden="1">
      <c r="B474" s="22"/>
      <c r="C474" s="22"/>
      <c r="D474" s="22"/>
      <c r="E474" s="22"/>
      <c r="F474" s="22"/>
      <c r="G474" s="22"/>
      <c r="H474" s="22"/>
      <c r="I474" s="22"/>
    </row>
    <row r="475" spans="2:9" ht="12.75" hidden="1">
      <c r="B475" s="22"/>
      <c r="C475" s="22"/>
      <c r="D475" s="22"/>
      <c r="E475" s="22"/>
      <c r="F475" s="22"/>
      <c r="G475" s="22"/>
      <c r="H475" s="22"/>
      <c r="I475" s="22"/>
    </row>
    <row r="476" spans="2:9" ht="12.75" hidden="1">
      <c r="B476" s="22"/>
      <c r="C476" s="22"/>
      <c r="D476" s="22"/>
      <c r="E476" s="22"/>
      <c r="F476" s="22"/>
      <c r="G476" s="22"/>
      <c r="H476" s="22"/>
      <c r="I476" s="22"/>
    </row>
    <row r="477" spans="2:9" ht="12.75" hidden="1">
      <c r="B477" s="22"/>
      <c r="C477" s="22"/>
      <c r="D477" s="22"/>
      <c r="E477" s="22"/>
      <c r="F477" s="22"/>
      <c r="G477" s="22"/>
      <c r="H477" s="22"/>
      <c r="I477" s="22"/>
    </row>
    <row r="478" spans="2:9" ht="12.75" hidden="1">
      <c r="B478" s="22"/>
      <c r="C478" s="22"/>
      <c r="D478" s="22"/>
      <c r="E478" s="22"/>
      <c r="F478" s="22"/>
      <c r="G478" s="22"/>
      <c r="H478" s="22"/>
      <c r="I478" s="22"/>
    </row>
    <row r="479" spans="2:9" ht="12.75" hidden="1">
      <c r="B479" s="22"/>
      <c r="C479" s="22"/>
      <c r="D479" s="22"/>
      <c r="E479" s="22"/>
      <c r="F479" s="22"/>
      <c r="G479" s="22"/>
      <c r="H479" s="22"/>
      <c r="I479" s="22"/>
    </row>
    <row r="480" spans="2:9" ht="12.75" hidden="1">
      <c r="B480" s="22"/>
      <c r="C480" s="22"/>
      <c r="D480" s="22"/>
      <c r="E480" s="22"/>
      <c r="F480" s="22"/>
      <c r="G480" s="22"/>
      <c r="H480" s="22"/>
      <c r="I480" s="22"/>
    </row>
    <row r="481" spans="2:9" ht="12.75" hidden="1">
      <c r="B481" s="22"/>
      <c r="C481" s="22"/>
      <c r="D481" s="22"/>
      <c r="E481" s="22"/>
      <c r="F481" s="22"/>
      <c r="G481" s="22"/>
      <c r="H481" s="22"/>
      <c r="I481" s="22"/>
    </row>
    <row r="482" spans="2:9" ht="12.75" hidden="1">
      <c r="B482" s="22"/>
      <c r="C482" s="22"/>
      <c r="D482" s="22"/>
      <c r="E482" s="22"/>
      <c r="F482" s="22"/>
      <c r="G482" s="22"/>
      <c r="H482" s="22"/>
      <c r="I482" s="22"/>
    </row>
    <row r="483" spans="2:9" ht="12.75" hidden="1">
      <c r="B483" s="22"/>
      <c r="C483" s="22"/>
      <c r="D483" s="22"/>
      <c r="E483" s="22"/>
      <c r="F483" s="22"/>
      <c r="G483" s="22"/>
      <c r="H483" s="22"/>
      <c r="I483" s="22"/>
    </row>
    <row r="484" spans="2:9" ht="12.75" hidden="1">
      <c r="B484" s="22"/>
      <c r="C484" s="22"/>
      <c r="D484" s="22"/>
      <c r="E484" s="22"/>
      <c r="F484" s="22"/>
      <c r="G484" s="22"/>
      <c r="H484" s="22"/>
      <c r="I484" s="22"/>
    </row>
    <row r="485" spans="2:9" ht="12.75" hidden="1">
      <c r="B485" s="22"/>
      <c r="C485" s="22"/>
      <c r="D485" s="22"/>
      <c r="E485" s="22"/>
      <c r="F485" s="22"/>
      <c r="G485" s="22"/>
      <c r="H485" s="22"/>
      <c r="I485" s="22"/>
    </row>
    <row r="486" spans="2:9" ht="12.75" hidden="1">
      <c r="B486" s="22"/>
      <c r="C486" s="22"/>
      <c r="D486" s="22"/>
      <c r="E486" s="22"/>
      <c r="F486" s="22"/>
      <c r="G486" s="22"/>
      <c r="H486" s="22"/>
      <c r="I486" s="22"/>
    </row>
    <row r="487" spans="2:9" ht="12.75" hidden="1">
      <c r="B487" s="22"/>
      <c r="C487" s="22"/>
      <c r="D487" s="22"/>
      <c r="E487" s="22"/>
      <c r="F487" s="22"/>
      <c r="G487" s="22"/>
      <c r="H487" s="22"/>
      <c r="I487" s="22"/>
    </row>
    <row r="488" spans="2:9" ht="12.75" hidden="1">
      <c r="B488" s="22"/>
      <c r="C488" s="22"/>
      <c r="D488" s="22"/>
      <c r="E488" s="22"/>
      <c r="F488" s="22"/>
      <c r="G488" s="22"/>
      <c r="H488" s="22"/>
      <c r="I488" s="22"/>
    </row>
    <row r="489" spans="2:9" ht="12.75" hidden="1">
      <c r="B489" s="22"/>
      <c r="C489" s="22"/>
      <c r="D489" s="22"/>
      <c r="E489" s="22"/>
      <c r="F489" s="22"/>
      <c r="G489" s="22"/>
      <c r="H489" s="22"/>
      <c r="I489" s="22"/>
    </row>
    <row r="490" spans="2:9" ht="12.75" hidden="1">
      <c r="B490" s="22"/>
      <c r="C490" s="22"/>
      <c r="D490" s="22"/>
      <c r="E490" s="22"/>
      <c r="F490" s="22"/>
      <c r="G490" s="22"/>
      <c r="H490" s="22"/>
      <c r="I490" s="22"/>
    </row>
    <row r="491" spans="2:9" ht="12.75" hidden="1">
      <c r="B491" s="22"/>
      <c r="C491" s="22"/>
      <c r="D491" s="22"/>
      <c r="E491" s="22"/>
      <c r="F491" s="22"/>
      <c r="G491" s="22"/>
      <c r="H491" s="22"/>
      <c r="I491" s="22"/>
    </row>
    <row r="492" spans="2:9" ht="12.75" hidden="1">
      <c r="B492" s="22"/>
      <c r="C492" s="22"/>
      <c r="D492" s="22"/>
      <c r="E492" s="22"/>
      <c r="F492" s="22"/>
      <c r="G492" s="22"/>
      <c r="H492" s="22"/>
      <c r="I492" s="22"/>
    </row>
    <row r="493" spans="2:9" ht="12.75" hidden="1">
      <c r="B493" s="22"/>
      <c r="C493" s="22"/>
      <c r="D493" s="22"/>
      <c r="E493" s="22"/>
      <c r="F493" s="22"/>
      <c r="G493" s="22"/>
      <c r="H493" s="22"/>
      <c r="I493" s="22"/>
    </row>
    <row r="494" spans="2:9" ht="12.75" hidden="1">
      <c r="B494" s="22"/>
      <c r="C494" s="22"/>
      <c r="D494" s="22"/>
      <c r="E494" s="22"/>
      <c r="F494" s="22"/>
      <c r="G494" s="22"/>
      <c r="H494" s="22"/>
      <c r="I494" s="22"/>
    </row>
    <row r="495" spans="2:9" ht="12.75" hidden="1">
      <c r="B495" s="22"/>
      <c r="C495" s="22"/>
      <c r="D495" s="22"/>
      <c r="E495" s="22"/>
      <c r="F495" s="22"/>
      <c r="G495" s="22"/>
      <c r="H495" s="22"/>
      <c r="I495" s="22"/>
    </row>
    <row r="496" spans="2:9" ht="12.75" hidden="1">
      <c r="B496" s="22"/>
      <c r="C496" s="22"/>
      <c r="D496" s="22"/>
      <c r="E496" s="22"/>
      <c r="F496" s="22"/>
      <c r="G496" s="22"/>
      <c r="H496" s="22"/>
      <c r="I496" s="22"/>
    </row>
    <row r="497" spans="2:9" ht="12.75" hidden="1">
      <c r="B497" s="22"/>
      <c r="C497" s="22"/>
      <c r="D497" s="22"/>
      <c r="E497" s="22"/>
      <c r="F497" s="22"/>
      <c r="G497" s="22"/>
      <c r="H497" s="22"/>
      <c r="I497" s="22"/>
    </row>
    <row r="498" spans="2:9" ht="12.75" hidden="1">
      <c r="B498" s="22"/>
      <c r="C498" s="22"/>
      <c r="D498" s="22"/>
      <c r="E498" s="22"/>
      <c r="F498" s="22"/>
      <c r="G498" s="22"/>
      <c r="H498" s="22"/>
      <c r="I498" s="22"/>
    </row>
    <row r="499" spans="2:9" ht="12.75" hidden="1">
      <c r="B499" s="22"/>
      <c r="C499" s="22"/>
      <c r="D499" s="22"/>
      <c r="E499" s="22"/>
      <c r="F499" s="22"/>
      <c r="G499" s="22"/>
      <c r="H499" s="22"/>
      <c r="I499" s="22"/>
    </row>
    <row r="500" spans="2:9" ht="12.75" hidden="1">
      <c r="B500" s="22"/>
      <c r="C500" s="22"/>
      <c r="D500" s="22"/>
      <c r="E500" s="22"/>
      <c r="F500" s="22"/>
      <c r="G500" s="22"/>
      <c r="H500" s="22"/>
      <c r="I500" s="22"/>
    </row>
    <row r="501" spans="2:9" ht="12.75" hidden="1">
      <c r="B501" s="22"/>
      <c r="C501" s="22"/>
      <c r="D501" s="22"/>
      <c r="E501" s="22"/>
      <c r="F501" s="22"/>
      <c r="G501" s="22"/>
      <c r="H501" s="22"/>
      <c r="I501" s="22"/>
    </row>
    <row r="502" spans="2:9" ht="12.75" hidden="1">
      <c r="B502" s="22"/>
      <c r="C502" s="22"/>
      <c r="D502" s="22"/>
      <c r="E502" s="22"/>
      <c r="F502" s="22"/>
      <c r="G502" s="22"/>
      <c r="H502" s="22"/>
      <c r="I502" s="22"/>
    </row>
    <row r="503" spans="2:9" ht="12.75" hidden="1">
      <c r="B503" s="22"/>
      <c r="C503" s="22"/>
      <c r="D503" s="22"/>
      <c r="E503" s="22"/>
      <c r="F503" s="22"/>
      <c r="G503" s="22"/>
      <c r="H503" s="22"/>
      <c r="I503" s="22"/>
    </row>
    <row r="504" spans="2:9" ht="12.75" hidden="1">
      <c r="B504" s="22"/>
      <c r="C504" s="22"/>
      <c r="D504" s="22"/>
      <c r="E504" s="22"/>
      <c r="F504" s="22"/>
      <c r="G504" s="22"/>
      <c r="H504" s="22"/>
      <c r="I504" s="22"/>
    </row>
    <row r="505" spans="2:9" ht="12.75" hidden="1">
      <c r="B505" s="22"/>
      <c r="C505" s="22"/>
      <c r="D505" s="22"/>
      <c r="E505" s="22"/>
      <c r="F505" s="22"/>
      <c r="G505" s="22"/>
      <c r="H505" s="22"/>
      <c r="I505" s="22"/>
    </row>
    <row r="506" spans="2:9" ht="12.75" hidden="1">
      <c r="B506" s="22"/>
      <c r="C506" s="22"/>
      <c r="D506" s="22"/>
      <c r="E506" s="22"/>
      <c r="F506" s="22"/>
      <c r="G506" s="22"/>
      <c r="H506" s="22"/>
      <c r="I506" s="22"/>
    </row>
    <row r="507" spans="2:9" ht="12.75" hidden="1">
      <c r="B507" s="22"/>
      <c r="C507" s="22"/>
      <c r="D507" s="22"/>
      <c r="E507" s="22"/>
      <c r="F507" s="22"/>
      <c r="G507" s="22"/>
      <c r="H507" s="22"/>
      <c r="I507" s="22"/>
    </row>
    <row r="508" spans="2:9" ht="12.75" hidden="1">
      <c r="B508" s="22"/>
      <c r="C508" s="22"/>
      <c r="D508" s="22"/>
      <c r="E508" s="22"/>
      <c r="F508" s="22"/>
      <c r="G508" s="22"/>
      <c r="H508" s="22"/>
      <c r="I508" s="22"/>
    </row>
    <row r="509" spans="2:9" ht="12.75" hidden="1">
      <c r="B509" s="22"/>
      <c r="C509" s="22"/>
      <c r="D509" s="22"/>
      <c r="E509" s="22"/>
      <c r="F509" s="22"/>
      <c r="G509" s="22"/>
      <c r="H509" s="22"/>
      <c r="I509" s="22"/>
    </row>
    <row r="510" spans="2:9" ht="12.75" hidden="1">
      <c r="B510" s="22"/>
      <c r="C510" s="22"/>
      <c r="D510" s="22"/>
      <c r="E510" s="22"/>
      <c r="F510" s="22"/>
      <c r="G510" s="22"/>
      <c r="H510" s="22"/>
      <c r="I510" s="22"/>
    </row>
    <row r="511" spans="2:9" ht="12.75" hidden="1">
      <c r="B511" s="22"/>
      <c r="C511" s="22"/>
      <c r="D511" s="22"/>
      <c r="E511" s="22"/>
      <c r="F511" s="22"/>
      <c r="G511" s="22"/>
      <c r="H511" s="22"/>
      <c r="I511" s="22"/>
    </row>
    <row r="512" spans="2:9" ht="12.75" hidden="1">
      <c r="B512" s="22"/>
      <c r="C512" s="22"/>
      <c r="D512" s="22"/>
      <c r="E512" s="22"/>
      <c r="F512" s="22"/>
      <c r="G512" s="22"/>
      <c r="H512" s="22"/>
      <c r="I512" s="22"/>
    </row>
    <row r="513" spans="2:9" ht="12.75" hidden="1">
      <c r="B513" s="22"/>
      <c r="C513" s="22"/>
      <c r="D513" s="22"/>
      <c r="E513" s="22"/>
      <c r="F513" s="22"/>
      <c r="G513" s="22"/>
      <c r="H513" s="22"/>
      <c r="I513" s="22"/>
    </row>
    <row r="514" spans="2:9" ht="12.75" hidden="1">
      <c r="B514" s="22"/>
      <c r="C514" s="22"/>
      <c r="D514" s="22"/>
      <c r="E514" s="22"/>
      <c r="F514" s="22"/>
      <c r="G514" s="22"/>
      <c r="H514" s="22"/>
      <c r="I514" s="22"/>
    </row>
    <row r="515" spans="2:9" ht="12.75" hidden="1">
      <c r="B515" s="22"/>
      <c r="C515" s="22"/>
      <c r="D515" s="22"/>
      <c r="E515" s="22"/>
      <c r="F515" s="22"/>
      <c r="G515" s="22"/>
      <c r="H515" s="22"/>
      <c r="I515" s="22"/>
    </row>
    <row r="516" spans="2:9" ht="12.75" hidden="1">
      <c r="B516" s="22"/>
      <c r="C516" s="22"/>
      <c r="D516" s="22"/>
      <c r="E516" s="22"/>
      <c r="F516" s="22"/>
      <c r="G516" s="22"/>
      <c r="H516" s="22"/>
      <c r="I516" s="22"/>
    </row>
    <row r="517" spans="2:9" ht="12.75" hidden="1">
      <c r="B517" s="22"/>
      <c r="C517" s="22"/>
      <c r="D517" s="22"/>
      <c r="E517" s="22"/>
      <c r="F517" s="22"/>
      <c r="G517" s="22"/>
      <c r="H517" s="22"/>
      <c r="I517" s="22"/>
    </row>
    <row r="518" spans="2:9" ht="12.75" hidden="1">
      <c r="B518" s="22"/>
      <c r="C518" s="22"/>
      <c r="D518" s="22"/>
      <c r="E518" s="22"/>
      <c r="F518" s="22"/>
      <c r="G518" s="22"/>
      <c r="H518" s="22"/>
      <c r="I518" s="22"/>
    </row>
    <row r="519" spans="2:9" ht="12.75" hidden="1">
      <c r="B519" s="22"/>
      <c r="C519" s="22"/>
      <c r="D519" s="22"/>
      <c r="E519" s="22"/>
      <c r="F519" s="22"/>
      <c r="G519" s="22"/>
      <c r="H519" s="22"/>
      <c r="I519" s="22"/>
    </row>
    <row r="520" spans="2:9" ht="12.75" hidden="1">
      <c r="B520" s="22"/>
      <c r="C520" s="22"/>
      <c r="D520" s="22"/>
      <c r="E520" s="22"/>
      <c r="F520" s="22"/>
      <c r="G520" s="22"/>
      <c r="H520" s="22"/>
      <c r="I520" s="22"/>
    </row>
    <row r="521" spans="2:9" ht="12.75" hidden="1">
      <c r="B521" s="22"/>
      <c r="C521" s="22"/>
      <c r="D521" s="22"/>
      <c r="E521" s="22"/>
      <c r="F521" s="22"/>
      <c r="G521" s="22"/>
      <c r="H521" s="22"/>
      <c r="I521" s="22"/>
    </row>
    <row r="522" spans="2:9" ht="12.75" hidden="1">
      <c r="B522" s="22"/>
      <c r="C522" s="22"/>
      <c r="D522" s="22"/>
      <c r="E522" s="22"/>
      <c r="F522" s="22"/>
      <c r="G522" s="22"/>
      <c r="H522" s="22"/>
      <c r="I522" s="22"/>
    </row>
    <row r="523" spans="2:9" ht="12.75" hidden="1">
      <c r="B523" s="22"/>
      <c r="C523" s="22"/>
      <c r="D523" s="22"/>
      <c r="E523" s="22"/>
      <c r="F523" s="22"/>
      <c r="G523" s="22"/>
      <c r="H523" s="22"/>
      <c r="I523" s="22"/>
    </row>
    <row r="524" spans="2:9" ht="12.75" hidden="1">
      <c r="B524" s="22"/>
      <c r="C524" s="22"/>
      <c r="D524" s="22"/>
      <c r="E524" s="22"/>
      <c r="F524" s="22"/>
      <c r="G524" s="22"/>
      <c r="H524" s="22"/>
      <c r="I524" s="22"/>
    </row>
    <row r="525" spans="2:9" ht="12.75" hidden="1">
      <c r="B525" s="22"/>
      <c r="C525" s="22"/>
      <c r="D525" s="22"/>
      <c r="E525" s="22"/>
      <c r="F525" s="22"/>
      <c r="G525" s="22"/>
      <c r="H525" s="22"/>
      <c r="I525" s="22"/>
    </row>
    <row r="526" spans="2:9" ht="12.75" hidden="1">
      <c r="B526" s="22"/>
      <c r="C526" s="22"/>
      <c r="D526" s="22"/>
      <c r="E526" s="22"/>
      <c r="F526" s="22"/>
      <c r="G526" s="22"/>
      <c r="H526" s="22"/>
      <c r="I526" s="22"/>
    </row>
    <row r="527" spans="2:9" ht="12.75" hidden="1">
      <c r="B527" s="22"/>
      <c r="C527" s="22"/>
      <c r="D527" s="22"/>
      <c r="E527" s="22"/>
      <c r="F527" s="22"/>
      <c r="G527" s="22"/>
      <c r="H527" s="22"/>
      <c r="I527" s="22"/>
    </row>
    <row r="528" spans="2:9" ht="12.75" hidden="1">
      <c r="B528" s="22"/>
      <c r="C528" s="22"/>
      <c r="D528" s="22"/>
      <c r="E528" s="22"/>
      <c r="F528" s="22"/>
      <c r="G528" s="22"/>
      <c r="H528" s="22"/>
      <c r="I528" s="22"/>
    </row>
    <row r="529" spans="2:9" ht="12.75" hidden="1">
      <c r="B529" s="22"/>
      <c r="C529" s="22"/>
      <c r="D529" s="22"/>
      <c r="E529" s="22"/>
      <c r="F529" s="22"/>
      <c r="G529" s="22"/>
      <c r="H529" s="22"/>
      <c r="I529" s="22"/>
    </row>
    <row r="530" spans="2:9" ht="12.75" hidden="1">
      <c r="B530" s="22"/>
      <c r="C530" s="22"/>
      <c r="D530" s="22"/>
      <c r="E530" s="22"/>
      <c r="F530" s="22"/>
      <c r="G530" s="22"/>
      <c r="H530" s="22"/>
      <c r="I530" s="22"/>
    </row>
    <row r="531" spans="2:9" ht="12.75" hidden="1">
      <c r="B531" s="22"/>
      <c r="C531" s="22"/>
      <c r="D531" s="22"/>
      <c r="E531" s="22"/>
      <c r="F531" s="22"/>
      <c r="G531" s="22"/>
      <c r="H531" s="22"/>
      <c r="I531" s="22"/>
    </row>
    <row r="532" spans="2:9" ht="12.75" hidden="1">
      <c r="B532" s="22"/>
      <c r="C532" s="22"/>
      <c r="D532" s="22"/>
      <c r="E532" s="22"/>
      <c r="F532" s="22"/>
      <c r="G532" s="22"/>
      <c r="H532" s="22"/>
      <c r="I532" s="22"/>
    </row>
    <row r="533" spans="2:9" ht="12.75" hidden="1">
      <c r="B533" s="22"/>
      <c r="C533" s="22"/>
      <c r="D533" s="22"/>
      <c r="E533" s="22"/>
      <c r="F533" s="22"/>
      <c r="G533" s="22"/>
      <c r="H533" s="22"/>
      <c r="I533" s="22"/>
    </row>
    <row r="534" spans="2:9" ht="12.75" hidden="1">
      <c r="B534" s="22"/>
      <c r="C534" s="22"/>
      <c r="D534" s="22"/>
      <c r="E534" s="22"/>
      <c r="F534" s="22"/>
      <c r="G534" s="22"/>
      <c r="H534" s="22"/>
      <c r="I534" s="22"/>
    </row>
    <row r="535" spans="2:9" ht="12.75" hidden="1">
      <c r="B535" s="22"/>
      <c r="C535" s="22"/>
      <c r="D535" s="22"/>
      <c r="E535" s="22"/>
      <c r="F535" s="22"/>
      <c r="G535" s="22"/>
      <c r="H535" s="22"/>
      <c r="I535" s="22"/>
    </row>
    <row r="536" spans="2:9" ht="12.75" hidden="1">
      <c r="B536" s="22"/>
      <c r="C536" s="22"/>
      <c r="D536" s="22"/>
      <c r="E536" s="22"/>
      <c r="F536" s="22"/>
      <c r="G536" s="22"/>
      <c r="H536" s="22"/>
      <c r="I536" s="22"/>
    </row>
    <row r="537" spans="2:9" ht="12.75" hidden="1">
      <c r="B537" s="22"/>
      <c r="C537" s="22"/>
      <c r="D537" s="22"/>
      <c r="E537" s="22"/>
      <c r="F537" s="22"/>
      <c r="G537" s="22"/>
      <c r="H537" s="22"/>
      <c r="I537" s="22"/>
    </row>
    <row r="538" spans="2:9" ht="12.75" hidden="1">
      <c r="B538" s="22"/>
      <c r="C538" s="22"/>
      <c r="D538" s="22"/>
      <c r="E538" s="22"/>
      <c r="F538" s="22"/>
      <c r="G538" s="22"/>
      <c r="H538" s="22"/>
      <c r="I538" s="22"/>
    </row>
    <row r="539" spans="2:9" ht="12.75" hidden="1">
      <c r="B539" s="22"/>
      <c r="C539" s="22"/>
      <c r="D539" s="22"/>
      <c r="E539" s="22"/>
      <c r="F539" s="22"/>
      <c r="G539" s="22"/>
      <c r="H539" s="22"/>
      <c r="I539" s="22"/>
    </row>
    <row r="540" spans="2:9" ht="12.75" hidden="1">
      <c r="B540" s="22"/>
      <c r="C540" s="22"/>
      <c r="D540" s="22"/>
      <c r="E540" s="22"/>
      <c r="F540" s="22"/>
      <c r="G540" s="22"/>
      <c r="H540" s="22"/>
      <c r="I540" s="22"/>
    </row>
    <row r="541" spans="2:9" ht="12.75" hidden="1">
      <c r="B541" s="22"/>
      <c r="C541" s="22"/>
      <c r="D541" s="22"/>
      <c r="E541" s="22"/>
      <c r="F541" s="22"/>
      <c r="G541" s="22"/>
      <c r="H541" s="22"/>
      <c r="I541" s="22"/>
    </row>
    <row r="542" spans="2:9" ht="12.75" hidden="1">
      <c r="B542" s="22"/>
      <c r="C542" s="22"/>
      <c r="D542" s="22"/>
      <c r="E542" s="22"/>
      <c r="F542" s="22"/>
      <c r="G542" s="22"/>
      <c r="H542" s="22"/>
      <c r="I542" s="22"/>
    </row>
    <row r="543" spans="2:9" ht="12.75" hidden="1">
      <c r="B543" s="22"/>
      <c r="C543" s="22"/>
      <c r="D543" s="22"/>
      <c r="E543" s="22"/>
      <c r="F543" s="22"/>
      <c r="G543" s="22"/>
      <c r="H543" s="22"/>
      <c r="I543" s="22"/>
    </row>
    <row r="544" spans="2:9" ht="12.75" hidden="1">
      <c r="B544" s="22"/>
      <c r="C544" s="22"/>
      <c r="D544" s="22"/>
      <c r="E544" s="22"/>
      <c r="F544" s="22"/>
      <c r="G544" s="22"/>
      <c r="H544" s="22"/>
      <c r="I544" s="22"/>
    </row>
    <row r="545" spans="2:9" ht="12.75" hidden="1">
      <c r="B545" s="22"/>
      <c r="C545" s="22"/>
      <c r="D545" s="22"/>
      <c r="E545" s="22"/>
      <c r="F545" s="22"/>
      <c r="G545" s="22"/>
      <c r="H545" s="22"/>
      <c r="I545" s="22"/>
    </row>
    <row r="546" spans="2:9" ht="12.75" hidden="1">
      <c r="B546" s="22"/>
      <c r="C546" s="22"/>
      <c r="D546" s="22"/>
      <c r="E546" s="22"/>
      <c r="F546" s="22"/>
      <c r="G546" s="22"/>
      <c r="H546" s="22"/>
      <c r="I546" s="22"/>
    </row>
    <row r="547" spans="2:9" ht="12.75" hidden="1">
      <c r="B547" s="22"/>
      <c r="C547" s="22"/>
      <c r="D547" s="22"/>
      <c r="E547" s="22"/>
      <c r="F547" s="22"/>
      <c r="G547" s="22"/>
      <c r="H547" s="22"/>
      <c r="I547" s="22"/>
    </row>
    <row r="548" spans="2:9" ht="12.75" hidden="1">
      <c r="B548" s="22"/>
      <c r="C548" s="22"/>
      <c r="D548" s="22"/>
      <c r="E548" s="22"/>
      <c r="F548" s="22"/>
      <c r="G548" s="22"/>
      <c r="H548" s="22"/>
      <c r="I548" s="22"/>
    </row>
    <row r="549" spans="2:9" ht="12.75" hidden="1">
      <c r="B549" s="22"/>
      <c r="C549" s="22"/>
      <c r="D549" s="22"/>
      <c r="E549" s="22"/>
      <c r="F549" s="22"/>
      <c r="G549" s="22"/>
      <c r="H549" s="22"/>
      <c r="I549" s="22"/>
    </row>
    <row r="550" spans="2:9" ht="12.75" hidden="1">
      <c r="B550" s="22"/>
      <c r="C550" s="22"/>
      <c r="D550" s="22"/>
      <c r="E550" s="22"/>
      <c r="F550" s="22"/>
      <c r="G550" s="22"/>
      <c r="H550" s="22"/>
      <c r="I550" s="22"/>
    </row>
    <row r="551" spans="2:9" ht="12.75" hidden="1">
      <c r="B551" s="22"/>
      <c r="C551" s="22"/>
      <c r="D551" s="22"/>
      <c r="E551" s="22"/>
      <c r="F551" s="22"/>
      <c r="G551" s="22"/>
      <c r="H551" s="22"/>
      <c r="I551" s="22"/>
    </row>
    <row r="552" spans="2:9" ht="12.75" hidden="1">
      <c r="B552" s="22"/>
      <c r="C552" s="22"/>
      <c r="D552" s="22"/>
      <c r="E552" s="22"/>
      <c r="F552" s="22"/>
      <c r="G552" s="22"/>
      <c r="H552" s="22"/>
      <c r="I552" s="22"/>
    </row>
    <row r="553" spans="2:9" ht="12.75" hidden="1">
      <c r="B553" s="22"/>
      <c r="C553" s="22"/>
      <c r="D553" s="22"/>
      <c r="E553" s="22"/>
      <c r="F553" s="22"/>
      <c r="G553" s="22"/>
      <c r="H553" s="22"/>
      <c r="I553" s="22"/>
    </row>
    <row r="554" spans="2:9" ht="12.75" hidden="1">
      <c r="B554" s="22"/>
      <c r="C554" s="22"/>
      <c r="D554" s="22"/>
      <c r="E554" s="22"/>
      <c r="F554" s="22"/>
      <c r="G554" s="22"/>
      <c r="H554" s="22"/>
      <c r="I554" s="22"/>
    </row>
    <row r="555" spans="2:9" ht="12.75" hidden="1">
      <c r="B555" s="22"/>
      <c r="C555" s="22"/>
      <c r="D555" s="22"/>
      <c r="E555" s="22"/>
      <c r="F555" s="22"/>
      <c r="G555" s="22"/>
      <c r="H555" s="22"/>
      <c r="I555" s="22"/>
    </row>
    <row r="556" spans="2:9" ht="12.75" hidden="1">
      <c r="B556" s="22"/>
      <c r="C556" s="22"/>
      <c r="D556" s="22"/>
      <c r="E556" s="22"/>
      <c r="F556" s="22"/>
      <c r="G556" s="22"/>
      <c r="H556" s="22"/>
      <c r="I556" s="22"/>
    </row>
    <row r="557" spans="2:9" ht="12.75" hidden="1">
      <c r="B557" s="22"/>
      <c r="C557" s="22"/>
      <c r="D557" s="22"/>
      <c r="E557" s="22"/>
      <c r="F557" s="22"/>
      <c r="G557" s="22"/>
      <c r="H557" s="22"/>
      <c r="I557" s="22"/>
    </row>
    <row r="558" spans="2:9" ht="12.75" hidden="1">
      <c r="B558" s="22"/>
      <c r="C558" s="22"/>
      <c r="D558" s="22"/>
      <c r="E558" s="22"/>
      <c r="F558" s="22"/>
      <c r="G558" s="22"/>
      <c r="H558" s="22"/>
      <c r="I558" s="22"/>
    </row>
    <row r="559" spans="2:9" ht="12.75" hidden="1">
      <c r="B559" s="22"/>
      <c r="C559" s="22"/>
      <c r="D559" s="22"/>
      <c r="E559" s="22"/>
      <c r="F559" s="22"/>
      <c r="G559" s="22"/>
      <c r="H559" s="22"/>
      <c r="I559" s="22"/>
    </row>
    <row r="560" spans="2:9" ht="12.75" hidden="1">
      <c r="B560" s="22"/>
      <c r="C560" s="22"/>
      <c r="D560" s="22"/>
      <c r="E560" s="22"/>
      <c r="F560" s="22"/>
      <c r="G560" s="22"/>
      <c r="H560" s="22"/>
      <c r="I560" s="22"/>
    </row>
    <row r="561" spans="2:9" ht="12.75" hidden="1">
      <c r="B561" s="22"/>
      <c r="C561" s="22"/>
      <c r="D561" s="22"/>
      <c r="E561" s="22"/>
      <c r="F561" s="22"/>
      <c r="G561" s="22"/>
      <c r="H561" s="22"/>
      <c r="I561" s="22"/>
    </row>
    <row r="562" spans="2:9" ht="12.75" hidden="1">
      <c r="B562" s="22"/>
      <c r="C562" s="22"/>
      <c r="D562" s="22"/>
      <c r="E562" s="22"/>
      <c r="F562" s="22"/>
      <c r="G562" s="22"/>
      <c r="H562" s="22"/>
      <c r="I562" s="22"/>
    </row>
    <row r="563" spans="2:9" ht="12.75" hidden="1">
      <c r="B563" s="22"/>
      <c r="C563" s="22"/>
      <c r="D563" s="22"/>
      <c r="E563" s="22"/>
      <c r="F563" s="22"/>
      <c r="G563" s="22"/>
      <c r="H563" s="22"/>
      <c r="I563" s="22"/>
    </row>
    <row r="564" spans="2:9" ht="12.75" hidden="1">
      <c r="B564" s="22"/>
      <c r="C564" s="22"/>
      <c r="D564" s="22"/>
      <c r="E564" s="22"/>
      <c r="F564" s="22"/>
      <c r="G564" s="22"/>
      <c r="H564" s="22"/>
      <c r="I564" s="22"/>
    </row>
    <row r="565" spans="2:9" ht="12.75" hidden="1">
      <c r="B565" s="22"/>
      <c r="C565" s="22"/>
      <c r="D565" s="22"/>
      <c r="E565" s="22"/>
      <c r="F565" s="22"/>
      <c r="G565" s="22"/>
      <c r="H565" s="22"/>
      <c r="I565" s="22"/>
    </row>
    <row r="566" spans="2:9" ht="12.75" hidden="1">
      <c r="B566" s="22"/>
      <c r="C566" s="22"/>
      <c r="D566" s="22"/>
      <c r="E566" s="22"/>
      <c r="F566" s="22"/>
      <c r="G566" s="22"/>
      <c r="H566" s="22"/>
      <c r="I566" s="22"/>
    </row>
    <row r="567" spans="2:9" ht="12.75" hidden="1">
      <c r="B567" s="22"/>
      <c r="C567" s="22"/>
      <c r="D567" s="22"/>
      <c r="E567" s="22"/>
      <c r="F567" s="22"/>
      <c r="G567" s="22"/>
      <c r="H567" s="22"/>
      <c r="I567" s="22"/>
    </row>
    <row r="568" spans="2:9" ht="12.75" hidden="1">
      <c r="B568" s="22"/>
      <c r="C568" s="22"/>
      <c r="D568" s="22"/>
      <c r="E568" s="22"/>
      <c r="F568" s="22"/>
      <c r="G568" s="22"/>
      <c r="H568" s="22"/>
      <c r="I568" s="22"/>
    </row>
    <row r="569" spans="2:9" ht="12.75" hidden="1">
      <c r="B569" s="22"/>
      <c r="C569" s="22"/>
      <c r="D569" s="22"/>
      <c r="E569" s="22"/>
      <c r="F569" s="22"/>
      <c r="G569" s="22"/>
      <c r="H569" s="22"/>
      <c r="I569" s="22"/>
    </row>
    <row r="570" spans="2:9" ht="12.75" hidden="1">
      <c r="B570" s="22"/>
      <c r="C570" s="22"/>
      <c r="D570" s="22"/>
      <c r="E570" s="22"/>
      <c r="F570" s="22"/>
      <c r="G570" s="22"/>
      <c r="H570" s="22"/>
      <c r="I570" s="22"/>
    </row>
    <row r="571" spans="2:9" ht="12.75" hidden="1">
      <c r="B571" s="22"/>
      <c r="C571" s="22"/>
      <c r="D571" s="22"/>
      <c r="E571" s="22"/>
      <c r="F571" s="22"/>
      <c r="G571" s="22"/>
      <c r="H571" s="22"/>
      <c r="I571" s="22"/>
    </row>
    <row r="572" spans="2:9" ht="12.75" hidden="1">
      <c r="B572" s="22"/>
      <c r="C572" s="22"/>
      <c r="D572" s="22"/>
      <c r="E572" s="22"/>
      <c r="F572" s="22"/>
      <c r="G572" s="22"/>
      <c r="H572" s="22"/>
      <c r="I572" s="22"/>
    </row>
    <row r="573" spans="2:9" ht="12.75" hidden="1">
      <c r="B573" s="22"/>
      <c r="C573" s="22"/>
      <c r="D573" s="22"/>
      <c r="E573" s="22"/>
      <c r="F573" s="22"/>
      <c r="G573" s="22"/>
      <c r="H573" s="22"/>
      <c r="I573" s="22"/>
    </row>
    <row r="574" spans="2:9" ht="12.75" hidden="1">
      <c r="B574" s="22"/>
      <c r="C574" s="22"/>
      <c r="D574" s="22"/>
      <c r="E574" s="22"/>
      <c r="F574" s="22"/>
      <c r="G574" s="22"/>
      <c r="H574" s="22"/>
      <c r="I574" s="22"/>
    </row>
    <row r="575" spans="2:9" ht="12.75" hidden="1">
      <c r="B575" s="22"/>
      <c r="C575" s="22"/>
      <c r="D575" s="22"/>
      <c r="E575" s="22"/>
      <c r="F575" s="22"/>
      <c r="G575" s="22"/>
      <c r="H575" s="22"/>
      <c r="I575" s="22"/>
    </row>
    <row r="576" spans="2:9" ht="12.75" hidden="1">
      <c r="B576" s="22"/>
      <c r="C576" s="22"/>
      <c r="D576" s="22"/>
      <c r="E576" s="22"/>
      <c r="F576" s="22"/>
      <c r="G576" s="22"/>
      <c r="H576" s="22"/>
      <c r="I576" s="22"/>
    </row>
    <row r="577" spans="2:9" ht="12.75" hidden="1">
      <c r="B577" s="22"/>
      <c r="C577" s="22"/>
      <c r="D577" s="22"/>
      <c r="E577" s="22"/>
      <c r="F577" s="22"/>
      <c r="G577" s="22"/>
      <c r="H577" s="22"/>
      <c r="I577" s="22"/>
    </row>
    <row r="578" spans="2:9" ht="12.75" hidden="1">
      <c r="B578" s="22"/>
      <c r="C578" s="22"/>
      <c r="D578" s="22"/>
      <c r="E578" s="22"/>
      <c r="F578" s="22"/>
      <c r="G578" s="22"/>
      <c r="H578" s="22"/>
      <c r="I578" s="22"/>
    </row>
    <row r="579" spans="2:9" ht="12.75" hidden="1">
      <c r="B579" s="22"/>
      <c r="C579" s="22"/>
      <c r="D579" s="22"/>
      <c r="E579" s="22"/>
      <c r="F579" s="22"/>
      <c r="G579" s="22"/>
      <c r="H579" s="22"/>
      <c r="I579" s="22"/>
    </row>
    <row r="580" spans="2:9" ht="12.75" hidden="1">
      <c r="B580" s="22"/>
      <c r="C580" s="22"/>
      <c r="D580" s="22"/>
      <c r="E580" s="22"/>
      <c r="F580" s="22"/>
      <c r="G580" s="22"/>
      <c r="H580" s="22"/>
      <c r="I580" s="22"/>
    </row>
    <row r="581" spans="2:9" ht="12.75" hidden="1">
      <c r="B581" s="22"/>
      <c r="C581" s="22"/>
      <c r="D581" s="22"/>
      <c r="E581" s="22"/>
      <c r="F581" s="22"/>
      <c r="G581" s="22"/>
      <c r="H581" s="22"/>
      <c r="I581" s="22"/>
    </row>
    <row r="582" spans="2:9" ht="12.75" hidden="1">
      <c r="B582" s="22"/>
      <c r="C582" s="22"/>
      <c r="D582" s="22"/>
      <c r="E582" s="22"/>
      <c r="F582" s="22"/>
      <c r="G582" s="22"/>
      <c r="H582" s="22"/>
      <c r="I582" s="22"/>
    </row>
    <row r="583" spans="2:9" ht="12.75" hidden="1">
      <c r="B583" s="22"/>
      <c r="C583" s="22"/>
      <c r="D583" s="22"/>
      <c r="E583" s="22"/>
      <c r="F583" s="22"/>
      <c r="G583" s="22"/>
      <c r="H583" s="22"/>
      <c r="I583" s="22"/>
    </row>
    <row r="584" spans="2:9" ht="12.75" hidden="1">
      <c r="B584" s="22"/>
      <c r="C584" s="22"/>
      <c r="D584" s="22"/>
      <c r="E584" s="22"/>
      <c r="F584" s="22"/>
      <c r="G584" s="22"/>
      <c r="H584" s="22"/>
      <c r="I584" s="22"/>
    </row>
    <row r="585" spans="2:9" ht="12.75" hidden="1">
      <c r="B585" s="22"/>
      <c r="C585" s="22"/>
      <c r="D585" s="22"/>
      <c r="E585" s="22"/>
      <c r="F585" s="22"/>
      <c r="G585" s="22"/>
      <c r="H585" s="22"/>
      <c r="I585" s="22"/>
    </row>
    <row r="586" spans="2:9" ht="12.75" hidden="1">
      <c r="B586" s="22"/>
      <c r="C586" s="22"/>
      <c r="D586" s="22"/>
      <c r="E586" s="22"/>
      <c r="F586" s="22"/>
      <c r="G586" s="22"/>
      <c r="H586" s="22"/>
      <c r="I586" s="22"/>
    </row>
    <row r="587" spans="2:9" ht="12.75" hidden="1">
      <c r="B587" s="22"/>
      <c r="C587" s="22"/>
      <c r="D587" s="22"/>
      <c r="E587" s="22"/>
      <c r="F587" s="22"/>
      <c r="G587" s="22"/>
      <c r="H587" s="22"/>
      <c r="I587" s="22"/>
    </row>
    <row r="588" spans="2:9" ht="12.75" hidden="1">
      <c r="B588" s="22"/>
      <c r="C588" s="22"/>
      <c r="D588" s="22"/>
      <c r="E588" s="22"/>
      <c r="F588" s="22"/>
      <c r="G588" s="22"/>
      <c r="H588" s="22"/>
      <c r="I588" s="22"/>
    </row>
    <row r="589" spans="2:9" ht="12.75" hidden="1">
      <c r="B589" s="22"/>
      <c r="C589" s="22"/>
      <c r="D589" s="22"/>
      <c r="E589" s="22"/>
      <c r="F589" s="22"/>
      <c r="G589" s="22"/>
      <c r="H589" s="22"/>
      <c r="I589" s="22"/>
    </row>
    <row r="590" spans="2:9" ht="12.75" hidden="1">
      <c r="B590" s="22"/>
      <c r="C590" s="22"/>
      <c r="D590" s="22"/>
      <c r="E590" s="22"/>
      <c r="F590" s="22"/>
      <c r="G590" s="22"/>
      <c r="H590" s="22"/>
      <c r="I590" s="22"/>
    </row>
    <row r="591" spans="2:9" ht="12.75" hidden="1">
      <c r="B591" s="22"/>
      <c r="C591" s="22"/>
      <c r="D591" s="22"/>
      <c r="E591" s="22"/>
      <c r="F591" s="22"/>
      <c r="G591" s="22"/>
      <c r="H591" s="22"/>
      <c r="I591" s="22"/>
    </row>
    <row r="592" spans="2:9" ht="12.75" hidden="1">
      <c r="B592" s="22"/>
      <c r="C592" s="22"/>
      <c r="D592" s="22"/>
      <c r="E592" s="22"/>
      <c r="F592" s="22"/>
      <c r="G592" s="22"/>
      <c r="H592" s="22"/>
      <c r="I592" s="22"/>
    </row>
    <row r="593" spans="2:9" ht="12.75" hidden="1">
      <c r="B593" s="22"/>
      <c r="C593" s="22"/>
      <c r="D593" s="22"/>
      <c r="E593" s="22"/>
      <c r="F593" s="22"/>
      <c r="G593" s="22"/>
      <c r="H593" s="22"/>
      <c r="I593" s="22"/>
    </row>
    <row r="594" spans="2:9" ht="12.75" hidden="1">
      <c r="B594" s="22"/>
      <c r="C594" s="22"/>
      <c r="D594" s="22"/>
      <c r="E594" s="22"/>
      <c r="F594" s="22"/>
      <c r="G594" s="22"/>
      <c r="H594" s="22"/>
      <c r="I594" s="22"/>
    </row>
    <row r="595" spans="2:9" ht="12.75" hidden="1">
      <c r="B595" s="22"/>
      <c r="C595" s="22"/>
      <c r="D595" s="22"/>
      <c r="E595" s="22"/>
      <c r="F595" s="22"/>
      <c r="G595" s="22"/>
      <c r="H595" s="22"/>
      <c r="I595" s="22"/>
    </row>
    <row r="596" spans="2:9" ht="12.75" hidden="1">
      <c r="B596" s="22"/>
      <c r="C596" s="22"/>
      <c r="D596" s="22"/>
      <c r="E596" s="22"/>
      <c r="F596" s="22"/>
      <c r="G596" s="22"/>
      <c r="H596" s="22"/>
      <c r="I596" s="22"/>
    </row>
    <row r="597" spans="2:9" ht="12.75" hidden="1">
      <c r="B597" s="22"/>
      <c r="C597" s="22"/>
      <c r="D597" s="22"/>
      <c r="E597" s="22"/>
      <c r="F597" s="22"/>
      <c r="G597" s="22"/>
      <c r="H597" s="22"/>
      <c r="I597" s="22"/>
    </row>
    <row r="598" spans="2:9" ht="12.75" hidden="1">
      <c r="B598" s="22"/>
      <c r="C598" s="22"/>
      <c r="D598" s="22"/>
      <c r="E598" s="22"/>
      <c r="F598" s="22"/>
      <c r="G598" s="22"/>
      <c r="H598" s="22"/>
      <c r="I598" s="22"/>
    </row>
    <row r="599" spans="2:9" ht="12.75" hidden="1">
      <c r="B599" s="22"/>
      <c r="C599" s="22"/>
      <c r="D599" s="22"/>
      <c r="E599" s="22"/>
      <c r="F599" s="22"/>
      <c r="G599" s="22"/>
      <c r="H599" s="22"/>
      <c r="I599" s="22"/>
    </row>
    <row r="600" spans="2:9" ht="12.75" hidden="1">
      <c r="B600" s="22"/>
      <c r="C600" s="22"/>
      <c r="D600" s="22"/>
      <c r="E600" s="22"/>
      <c r="F600" s="22"/>
      <c r="G600" s="22"/>
      <c r="H600" s="22"/>
      <c r="I600" s="22"/>
    </row>
    <row r="601" spans="2:9" ht="12.75" hidden="1">
      <c r="B601" s="22"/>
      <c r="C601" s="22"/>
      <c r="D601" s="22"/>
      <c r="E601" s="22"/>
      <c r="F601" s="22"/>
      <c r="G601" s="22"/>
      <c r="H601" s="22"/>
      <c r="I601" s="22"/>
    </row>
    <row r="602" spans="2:9" ht="12.75" hidden="1">
      <c r="B602" s="22"/>
      <c r="C602" s="22"/>
      <c r="D602" s="22"/>
      <c r="E602" s="22"/>
      <c r="F602" s="22"/>
      <c r="G602" s="22"/>
      <c r="H602" s="22"/>
      <c r="I602" s="22"/>
    </row>
    <row r="603" spans="2:9" ht="12.75" hidden="1">
      <c r="B603" s="22"/>
      <c r="C603" s="22"/>
      <c r="D603" s="22"/>
      <c r="E603" s="22"/>
      <c r="F603" s="22"/>
      <c r="G603" s="22"/>
      <c r="H603" s="22"/>
      <c r="I603" s="22"/>
    </row>
    <row r="604" spans="2:9" ht="12.75" hidden="1">
      <c r="B604" s="22"/>
      <c r="C604" s="22"/>
      <c r="D604" s="22"/>
      <c r="E604" s="22"/>
      <c r="F604" s="22"/>
      <c r="G604" s="22"/>
      <c r="H604" s="22"/>
      <c r="I604" s="22"/>
    </row>
    <row r="605" spans="2:9" ht="12.75" hidden="1">
      <c r="B605" s="22"/>
      <c r="C605" s="22"/>
      <c r="D605" s="22"/>
      <c r="E605" s="22"/>
      <c r="F605" s="22"/>
      <c r="G605" s="22"/>
      <c r="H605" s="22"/>
      <c r="I605" s="22"/>
    </row>
    <row r="606" spans="2:9" ht="12.75" hidden="1">
      <c r="B606" s="22"/>
      <c r="C606" s="22"/>
      <c r="D606" s="22"/>
      <c r="E606" s="22"/>
      <c r="F606" s="22"/>
      <c r="G606" s="22"/>
      <c r="H606" s="22"/>
      <c r="I606" s="22"/>
    </row>
    <row r="607" spans="2:9" ht="12.75" hidden="1">
      <c r="B607" s="22"/>
      <c r="C607" s="22"/>
      <c r="D607" s="22"/>
      <c r="E607" s="22"/>
      <c r="F607" s="22"/>
      <c r="G607" s="22"/>
      <c r="H607" s="22"/>
      <c r="I607" s="22"/>
    </row>
    <row r="608" spans="2:9" ht="12.75" hidden="1">
      <c r="B608" s="22"/>
      <c r="C608" s="22"/>
      <c r="D608" s="22"/>
      <c r="E608" s="22"/>
      <c r="F608" s="22"/>
      <c r="G608" s="22"/>
      <c r="H608" s="22"/>
      <c r="I608" s="22"/>
    </row>
    <row r="609" spans="2:9" ht="12.75" hidden="1">
      <c r="B609" s="22"/>
      <c r="C609" s="22"/>
      <c r="D609" s="22"/>
      <c r="E609" s="22"/>
      <c r="F609" s="22"/>
      <c r="G609" s="22"/>
      <c r="H609" s="22"/>
      <c r="I609" s="22"/>
    </row>
    <row r="610" spans="2:9" ht="12.75" hidden="1">
      <c r="B610" s="22"/>
      <c r="C610" s="22"/>
      <c r="D610" s="22"/>
      <c r="E610" s="22"/>
      <c r="F610" s="22"/>
      <c r="G610" s="22"/>
      <c r="H610" s="22"/>
      <c r="I610" s="22"/>
    </row>
    <row r="611" spans="2:9" ht="12.75" hidden="1">
      <c r="B611" s="22"/>
      <c r="C611" s="22"/>
      <c r="D611" s="22"/>
      <c r="E611" s="22"/>
      <c r="F611" s="22"/>
      <c r="G611" s="22"/>
      <c r="H611" s="22"/>
      <c r="I611" s="22"/>
    </row>
    <row r="612" spans="2:9" ht="12.75" hidden="1">
      <c r="B612" s="22"/>
      <c r="C612" s="22"/>
      <c r="D612" s="22"/>
      <c r="E612" s="22"/>
      <c r="F612" s="22"/>
      <c r="G612" s="22"/>
      <c r="H612" s="22"/>
      <c r="I612" s="22"/>
    </row>
    <row r="613" spans="2:9" ht="12.75" hidden="1">
      <c r="B613" s="22"/>
      <c r="C613" s="22"/>
      <c r="D613" s="22"/>
      <c r="E613" s="22"/>
      <c r="F613" s="22"/>
      <c r="G613" s="22"/>
      <c r="H613" s="22"/>
      <c r="I613" s="22"/>
    </row>
    <row r="614" spans="2:9" ht="12.75" hidden="1">
      <c r="B614" s="22"/>
      <c r="C614" s="22"/>
      <c r="D614" s="22"/>
      <c r="E614" s="22"/>
      <c r="F614" s="22"/>
      <c r="G614" s="22"/>
      <c r="H614" s="22"/>
      <c r="I614" s="22"/>
    </row>
    <row r="615" spans="2:9" ht="12.75" hidden="1">
      <c r="B615" s="22"/>
      <c r="C615" s="22"/>
      <c r="D615" s="22"/>
      <c r="E615" s="22"/>
      <c r="F615" s="22"/>
      <c r="G615" s="22"/>
      <c r="H615" s="22"/>
      <c r="I615" s="22"/>
    </row>
    <row r="616" spans="2:9" ht="12.75" hidden="1">
      <c r="B616" s="22"/>
      <c r="C616" s="22"/>
      <c r="D616" s="22"/>
      <c r="E616" s="22"/>
      <c r="F616" s="22"/>
      <c r="G616" s="22"/>
      <c r="H616" s="22"/>
      <c r="I616" s="22"/>
    </row>
    <row r="617" spans="2:9" ht="12.75" hidden="1">
      <c r="B617" s="22"/>
      <c r="C617" s="22"/>
      <c r="D617" s="22"/>
      <c r="E617" s="22"/>
      <c r="F617" s="22"/>
      <c r="G617" s="22"/>
      <c r="H617" s="22"/>
      <c r="I617" s="22"/>
    </row>
    <row r="618" spans="2:9" ht="12.75" hidden="1">
      <c r="B618" s="22"/>
      <c r="C618" s="22"/>
      <c r="D618" s="22"/>
      <c r="E618" s="22"/>
      <c r="F618" s="22"/>
      <c r="G618" s="22"/>
      <c r="H618" s="22"/>
      <c r="I618" s="22"/>
    </row>
    <row r="619" spans="2:9" ht="12.75" hidden="1">
      <c r="B619" s="22"/>
      <c r="C619" s="22"/>
      <c r="D619" s="22"/>
      <c r="E619" s="22"/>
      <c r="F619" s="22"/>
      <c r="G619" s="22"/>
      <c r="H619" s="22"/>
      <c r="I619" s="22"/>
    </row>
    <row r="620" spans="2:9" ht="12.75" hidden="1">
      <c r="B620" s="22"/>
      <c r="C620" s="22"/>
      <c r="D620" s="22"/>
      <c r="E620" s="22"/>
      <c r="F620" s="22"/>
      <c r="G620" s="22"/>
      <c r="H620" s="22"/>
      <c r="I620" s="22"/>
    </row>
    <row r="621" spans="2:9" ht="12.75" hidden="1">
      <c r="B621" s="22"/>
      <c r="C621" s="22"/>
      <c r="D621" s="22"/>
      <c r="E621" s="22"/>
      <c r="F621" s="22"/>
      <c r="G621" s="22"/>
      <c r="H621" s="22"/>
      <c r="I621" s="22"/>
    </row>
    <row r="622" spans="2:9" ht="12.75" hidden="1">
      <c r="B622" s="22"/>
      <c r="C622" s="22"/>
      <c r="D622" s="22"/>
      <c r="E622" s="22"/>
      <c r="F622" s="22"/>
      <c r="G622" s="22"/>
      <c r="H622" s="22"/>
      <c r="I622" s="22"/>
    </row>
    <row r="623" spans="2:9" ht="12.75" hidden="1">
      <c r="B623" s="22"/>
      <c r="C623" s="22"/>
      <c r="D623" s="22"/>
      <c r="E623" s="22"/>
      <c r="F623" s="22"/>
      <c r="G623" s="22"/>
      <c r="H623" s="22"/>
      <c r="I623" s="22"/>
    </row>
    <row r="624" spans="2:9" ht="12.75" hidden="1">
      <c r="B624" s="22"/>
      <c r="C624" s="22"/>
      <c r="D624" s="22"/>
      <c r="E624" s="22"/>
      <c r="F624" s="22"/>
      <c r="G624" s="22"/>
      <c r="H624" s="22"/>
      <c r="I624" s="22"/>
    </row>
    <row r="625" spans="2:9" ht="12.75" hidden="1">
      <c r="B625" s="22"/>
      <c r="C625" s="22"/>
      <c r="D625" s="22"/>
      <c r="E625" s="22"/>
      <c r="F625" s="22"/>
      <c r="G625" s="22"/>
      <c r="H625" s="22"/>
      <c r="I625" s="22"/>
    </row>
    <row r="626" spans="2:9" ht="12.75" hidden="1">
      <c r="B626" s="22"/>
      <c r="C626" s="22"/>
      <c r="D626" s="22"/>
      <c r="E626" s="22"/>
      <c r="F626" s="22"/>
      <c r="G626" s="22"/>
      <c r="H626" s="22"/>
      <c r="I626" s="22"/>
    </row>
    <row r="627" spans="2:9" ht="12.75" hidden="1">
      <c r="B627" s="22"/>
      <c r="C627" s="22"/>
      <c r="D627" s="22"/>
      <c r="E627" s="22"/>
      <c r="F627" s="22"/>
      <c r="G627" s="22"/>
      <c r="H627" s="22"/>
      <c r="I627" s="22"/>
    </row>
    <row r="628" spans="2:9" ht="12.75" hidden="1">
      <c r="B628" s="22"/>
      <c r="C628" s="22"/>
      <c r="D628" s="22"/>
      <c r="E628" s="22"/>
      <c r="F628" s="22"/>
      <c r="G628" s="22"/>
      <c r="H628" s="22"/>
      <c r="I628" s="22"/>
    </row>
    <row r="629" spans="2:9" ht="12.75" hidden="1">
      <c r="B629" s="22"/>
      <c r="C629" s="22"/>
      <c r="D629" s="22"/>
      <c r="E629" s="22"/>
      <c r="F629" s="22"/>
      <c r="G629" s="22"/>
      <c r="H629" s="22"/>
      <c r="I629" s="22"/>
    </row>
    <row r="630" spans="2:9" ht="12.75" hidden="1">
      <c r="B630" s="22"/>
      <c r="C630" s="22"/>
      <c r="D630" s="22"/>
      <c r="E630" s="22"/>
      <c r="F630" s="22"/>
      <c r="G630" s="22"/>
      <c r="H630" s="22"/>
      <c r="I630" s="22"/>
    </row>
    <row r="631" spans="2:9" ht="12.75" hidden="1">
      <c r="B631" s="22"/>
      <c r="C631" s="22"/>
      <c r="D631" s="22"/>
      <c r="E631" s="22"/>
      <c r="F631" s="22"/>
      <c r="G631" s="22"/>
      <c r="H631" s="22"/>
      <c r="I631" s="22"/>
    </row>
    <row r="632" spans="2:9" ht="12.75" hidden="1">
      <c r="B632" s="22"/>
      <c r="C632" s="22"/>
      <c r="D632" s="22"/>
      <c r="E632" s="22"/>
      <c r="F632" s="22"/>
      <c r="G632" s="22"/>
      <c r="H632" s="22"/>
      <c r="I632" s="22"/>
    </row>
    <row r="633" spans="2:9" ht="12.75" hidden="1">
      <c r="B633" s="22"/>
      <c r="C633" s="22"/>
      <c r="D633" s="22"/>
      <c r="E633" s="22"/>
      <c r="F633" s="22"/>
      <c r="G633" s="22"/>
      <c r="H633" s="22"/>
      <c r="I633" s="22"/>
    </row>
    <row r="634" spans="2:9" ht="12.75" hidden="1">
      <c r="B634" s="22"/>
      <c r="C634" s="22"/>
      <c r="D634" s="22"/>
      <c r="E634" s="22"/>
      <c r="F634" s="22"/>
      <c r="G634" s="22"/>
      <c r="H634" s="22"/>
      <c r="I634" s="22"/>
    </row>
    <row r="635" spans="2:9" ht="12.75" hidden="1">
      <c r="B635" s="22"/>
      <c r="C635" s="22"/>
      <c r="D635" s="22"/>
      <c r="E635" s="22"/>
      <c r="F635" s="22"/>
      <c r="G635" s="22"/>
      <c r="H635" s="22"/>
      <c r="I635" s="22"/>
    </row>
    <row r="636" spans="2:9" ht="12.75" hidden="1">
      <c r="B636" s="22"/>
      <c r="C636" s="22"/>
      <c r="D636" s="22"/>
      <c r="E636" s="22"/>
      <c r="F636" s="22"/>
      <c r="G636" s="22"/>
      <c r="H636" s="22"/>
      <c r="I636" s="22"/>
    </row>
    <row r="637" spans="2:9" ht="12.75" hidden="1">
      <c r="B637" s="22"/>
      <c r="C637" s="22"/>
      <c r="D637" s="22"/>
      <c r="E637" s="22"/>
      <c r="F637" s="22"/>
      <c r="G637" s="22"/>
      <c r="H637" s="22"/>
      <c r="I637" s="22"/>
    </row>
    <row r="638" spans="2:9" ht="12.75" hidden="1">
      <c r="B638" s="22"/>
      <c r="C638" s="22"/>
      <c r="D638" s="22"/>
      <c r="E638" s="22"/>
      <c r="F638" s="22"/>
      <c r="G638" s="22"/>
      <c r="H638" s="22"/>
      <c r="I638" s="22"/>
    </row>
    <row r="639" spans="2:9" ht="12.75" hidden="1">
      <c r="B639" s="22"/>
      <c r="C639" s="22"/>
      <c r="D639" s="22"/>
      <c r="E639" s="22"/>
      <c r="F639" s="22"/>
      <c r="G639" s="22"/>
      <c r="H639" s="22"/>
      <c r="I639" s="22"/>
    </row>
    <row r="640" spans="2:9" ht="12.75" hidden="1">
      <c r="B640" s="22"/>
      <c r="C640" s="22"/>
      <c r="D640" s="22"/>
      <c r="E640" s="22"/>
      <c r="F640" s="22"/>
      <c r="G640" s="22"/>
      <c r="H640" s="22"/>
      <c r="I640" s="22"/>
    </row>
    <row r="641" spans="2:9" ht="12.75" hidden="1">
      <c r="B641" s="22"/>
      <c r="C641" s="22"/>
      <c r="D641" s="22"/>
      <c r="E641" s="22"/>
      <c r="F641" s="22"/>
      <c r="G641" s="22"/>
      <c r="H641" s="22"/>
      <c r="I641" s="22"/>
    </row>
    <row r="642" spans="2:9" ht="12.75" hidden="1">
      <c r="B642" s="22"/>
      <c r="C642" s="22"/>
      <c r="D642" s="22"/>
      <c r="E642" s="22"/>
      <c r="F642" s="22"/>
      <c r="G642" s="22"/>
      <c r="H642" s="22"/>
      <c r="I642" s="22"/>
    </row>
    <row r="643" spans="2:9" ht="12.75" hidden="1">
      <c r="B643" s="22"/>
      <c r="C643" s="22"/>
      <c r="D643" s="22"/>
      <c r="E643" s="22"/>
      <c r="F643" s="22"/>
      <c r="G643" s="22"/>
      <c r="H643" s="22"/>
      <c r="I643" s="22"/>
    </row>
    <row r="644" spans="2:9" ht="12.75" hidden="1">
      <c r="B644" s="22"/>
      <c r="C644" s="22"/>
      <c r="D644" s="22"/>
      <c r="E644" s="22"/>
      <c r="F644" s="22"/>
      <c r="G644" s="22"/>
      <c r="H644" s="22"/>
      <c r="I644" s="22"/>
    </row>
    <row r="645" spans="2:9" ht="12.75" hidden="1">
      <c r="B645" s="22"/>
      <c r="C645" s="22"/>
      <c r="D645" s="22"/>
      <c r="E645" s="22"/>
      <c r="F645" s="22"/>
      <c r="G645" s="22"/>
      <c r="H645" s="22"/>
      <c r="I645" s="22"/>
    </row>
    <row r="646" spans="2:9" ht="12.75" hidden="1">
      <c r="B646" s="22"/>
      <c r="C646" s="22"/>
      <c r="D646" s="22"/>
      <c r="E646" s="22"/>
      <c r="F646" s="22"/>
      <c r="G646" s="22"/>
      <c r="H646" s="22"/>
      <c r="I646" s="22"/>
    </row>
    <row r="647" spans="2:9" ht="12.75" hidden="1">
      <c r="B647" s="22"/>
      <c r="C647" s="22"/>
      <c r="D647" s="22"/>
      <c r="E647" s="22"/>
      <c r="F647" s="22"/>
      <c r="G647" s="22"/>
      <c r="H647" s="22"/>
      <c r="I647" s="22"/>
    </row>
    <row r="648" spans="2:9" ht="12.75" hidden="1">
      <c r="B648" s="22"/>
      <c r="C648" s="22"/>
      <c r="D648" s="22"/>
      <c r="E648" s="22"/>
      <c r="F648" s="22"/>
      <c r="G648" s="22"/>
      <c r="H648" s="22"/>
      <c r="I648" s="22"/>
    </row>
    <row r="649" spans="2:9" ht="12.75" hidden="1">
      <c r="B649" s="22"/>
      <c r="C649" s="22"/>
      <c r="D649" s="22"/>
      <c r="E649" s="22"/>
      <c r="F649" s="22"/>
      <c r="G649" s="22"/>
      <c r="H649" s="22"/>
      <c r="I649" s="22"/>
    </row>
    <row r="650" spans="2:9" ht="12.75" hidden="1">
      <c r="B650" s="22"/>
      <c r="C650" s="22"/>
      <c r="D650" s="22"/>
      <c r="E650" s="22"/>
      <c r="F650" s="22"/>
      <c r="G650" s="22"/>
      <c r="H650" s="22"/>
      <c r="I650" s="22"/>
    </row>
    <row r="651" spans="2:9" ht="12.75" hidden="1">
      <c r="B651" s="22"/>
      <c r="C651" s="22"/>
      <c r="D651" s="22"/>
      <c r="E651" s="22"/>
      <c r="F651" s="22"/>
      <c r="G651" s="22"/>
      <c r="H651" s="22"/>
      <c r="I651" s="22"/>
    </row>
    <row r="652" spans="2:9" ht="12.75" hidden="1">
      <c r="B652" s="22"/>
      <c r="C652" s="22"/>
      <c r="D652" s="22"/>
      <c r="E652" s="22"/>
      <c r="F652" s="22"/>
      <c r="G652" s="22"/>
      <c r="H652" s="22"/>
      <c r="I652" s="22"/>
    </row>
    <row r="653" spans="2:9" ht="12.75" hidden="1">
      <c r="B653" s="22"/>
      <c r="C653" s="22"/>
      <c r="D653" s="22"/>
      <c r="E653" s="22"/>
      <c r="F653" s="22"/>
      <c r="G653" s="22"/>
      <c r="H653" s="22"/>
      <c r="I653" s="22"/>
    </row>
    <row r="654" spans="2:9" ht="12.75" hidden="1">
      <c r="B654" s="22"/>
      <c r="C654" s="22"/>
      <c r="D654" s="22"/>
      <c r="E654" s="22"/>
      <c r="F654" s="22"/>
      <c r="G654" s="22"/>
      <c r="H654" s="22"/>
      <c r="I654" s="22"/>
    </row>
    <row r="655" spans="2:9" ht="12.75" hidden="1">
      <c r="B655" s="22"/>
      <c r="C655" s="22"/>
      <c r="D655" s="22"/>
      <c r="E655" s="22"/>
      <c r="F655" s="22"/>
      <c r="G655" s="22"/>
      <c r="H655" s="22"/>
      <c r="I655" s="22"/>
    </row>
    <row r="656" spans="2:9" ht="12.75" hidden="1">
      <c r="B656" s="22"/>
      <c r="C656" s="22"/>
      <c r="D656" s="22"/>
      <c r="E656" s="22"/>
      <c r="F656" s="22"/>
      <c r="G656" s="22"/>
      <c r="H656" s="22"/>
      <c r="I656" s="22"/>
    </row>
    <row r="657" spans="2:9" ht="12.75" hidden="1">
      <c r="B657" s="22"/>
      <c r="C657" s="22"/>
      <c r="D657" s="22"/>
      <c r="E657" s="22"/>
      <c r="F657" s="22"/>
      <c r="G657" s="22"/>
      <c r="H657" s="22"/>
      <c r="I657" s="22"/>
    </row>
    <row r="658" spans="2:9" ht="12.75" hidden="1">
      <c r="B658" s="22"/>
      <c r="C658" s="22"/>
      <c r="D658" s="22"/>
      <c r="E658" s="22"/>
      <c r="F658" s="22"/>
      <c r="G658" s="22"/>
      <c r="H658" s="22"/>
      <c r="I658" s="22"/>
    </row>
    <row r="659" spans="2:9" ht="12.75" hidden="1">
      <c r="B659" s="22"/>
      <c r="C659" s="22"/>
      <c r="D659" s="22"/>
      <c r="E659" s="22"/>
      <c r="F659" s="22"/>
      <c r="G659" s="22"/>
      <c r="H659" s="22"/>
      <c r="I659" s="22"/>
    </row>
    <row r="660" spans="2:9" ht="12.75" hidden="1">
      <c r="B660" s="22"/>
      <c r="C660" s="22"/>
      <c r="D660" s="22"/>
      <c r="E660" s="22"/>
      <c r="F660" s="22"/>
      <c r="G660" s="22"/>
      <c r="H660" s="22"/>
      <c r="I660" s="22"/>
    </row>
    <row r="661" spans="2:9" ht="12.75" hidden="1">
      <c r="B661" s="22"/>
      <c r="C661" s="22"/>
      <c r="D661" s="22"/>
      <c r="E661" s="22"/>
      <c r="F661" s="22"/>
      <c r="G661" s="22"/>
      <c r="H661" s="22"/>
      <c r="I661" s="22"/>
    </row>
    <row r="662" spans="2:9" ht="12.75" hidden="1">
      <c r="B662" s="22"/>
      <c r="C662" s="22"/>
      <c r="D662" s="22"/>
      <c r="E662" s="22"/>
      <c r="F662" s="22"/>
      <c r="G662" s="22"/>
      <c r="H662" s="22"/>
      <c r="I662" s="22"/>
    </row>
    <row r="663" spans="2:9" ht="12.75" hidden="1">
      <c r="B663" s="22"/>
      <c r="C663" s="22"/>
      <c r="D663" s="22"/>
      <c r="E663" s="22"/>
      <c r="F663" s="22"/>
      <c r="G663" s="22"/>
      <c r="H663" s="22"/>
      <c r="I663" s="22"/>
    </row>
    <row r="664" spans="2:9" ht="12.75" hidden="1">
      <c r="B664" s="22"/>
      <c r="C664" s="22"/>
      <c r="D664" s="22"/>
      <c r="E664" s="22"/>
      <c r="F664" s="22"/>
      <c r="G664" s="22"/>
      <c r="H664" s="22"/>
      <c r="I664" s="22"/>
    </row>
    <row r="665" spans="2:9" ht="12.75" hidden="1">
      <c r="B665" s="22"/>
      <c r="C665" s="22"/>
      <c r="D665" s="22"/>
      <c r="E665" s="22"/>
      <c r="F665" s="22"/>
      <c r="G665" s="22"/>
      <c r="H665" s="22"/>
      <c r="I665" s="22"/>
    </row>
    <row r="666" spans="2:9" ht="12.75" hidden="1">
      <c r="B666" s="22"/>
      <c r="C666" s="22"/>
      <c r="D666" s="22"/>
      <c r="E666" s="22"/>
      <c r="F666" s="22"/>
      <c r="G666" s="22"/>
      <c r="H666" s="22"/>
      <c r="I666" s="22"/>
    </row>
    <row r="667" spans="2:9" ht="12.75" hidden="1">
      <c r="B667" s="22"/>
      <c r="C667" s="22"/>
      <c r="D667" s="22"/>
      <c r="E667" s="22"/>
      <c r="F667" s="22"/>
      <c r="G667" s="22"/>
      <c r="H667" s="22"/>
      <c r="I667" s="22"/>
    </row>
    <row r="668" spans="2:9" ht="12.75" hidden="1">
      <c r="B668" s="22"/>
      <c r="C668" s="22"/>
      <c r="D668" s="22"/>
      <c r="E668" s="22"/>
      <c r="F668" s="22"/>
      <c r="G668" s="22"/>
      <c r="H668" s="22"/>
      <c r="I668" s="22"/>
    </row>
    <row r="669" spans="2:9" ht="12.75" hidden="1">
      <c r="B669" s="22"/>
      <c r="C669" s="22"/>
      <c r="D669" s="22"/>
      <c r="E669" s="22"/>
      <c r="F669" s="22"/>
      <c r="G669" s="22"/>
      <c r="H669" s="22"/>
      <c r="I669" s="22"/>
    </row>
    <row r="670" spans="2:9" ht="12.75" hidden="1">
      <c r="B670" s="22"/>
      <c r="C670" s="22"/>
      <c r="D670" s="22"/>
      <c r="E670" s="22"/>
      <c r="F670" s="22"/>
      <c r="G670" s="22"/>
      <c r="H670" s="22"/>
      <c r="I670" s="22"/>
    </row>
    <row r="671" spans="2:9" ht="12.75" hidden="1">
      <c r="B671" s="22"/>
      <c r="C671" s="22"/>
      <c r="D671" s="22"/>
      <c r="E671" s="22"/>
      <c r="F671" s="22"/>
      <c r="G671" s="22"/>
      <c r="H671" s="22"/>
      <c r="I671" s="22"/>
    </row>
    <row r="672" spans="2:9" ht="12.75" hidden="1">
      <c r="B672" s="22"/>
      <c r="C672" s="22"/>
      <c r="D672" s="22"/>
      <c r="E672" s="22"/>
      <c r="F672" s="22"/>
      <c r="G672" s="22"/>
      <c r="H672" s="22"/>
      <c r="I672" s="22"/>
    </row>
    <row r="673" spans="2:9" ht="12.75" hidden="1">
      <c r="B673" s="22"/>
      <c r="C673" s="22"/>
      <c r="D673" s="22"/>
      <c r="E673" s="22"/>
      <c r="F673" s="22"/>
      <c r="G673" s="22"/>
      <c r="H673" s="22"/>
      <c r="I673" s="22"/>
    </row>
    <row r="674" spans="2:9" ht="12.75" hidden="1">
      <c r="B674" s="22"/>
      <c r="C674" s="22"/>
      <c r="D674" s="22"/>
      <c r="E674" s="22"/>
      <c r="F674" s="22"/>
      <c r="G674" s="22"/>
      <c r="H674" s="22"/>
      <c r="I674" s="22"/>
    </row>
    <row r="675" spans="2:9" ht="12.75" hidden="1">
      <c r="B675" s="22"/>
      <c r="C675" s="22"/>
      <c r="D675" s="22"/>
      <c r="E675" s="22"/>
      <c r="F675" s="22"/>
      <c r="G675" s="22"/>
      <c r="H675" s="22"/>
      <c r="I675" s="22"/>
    </row>
    <row r="676" spans="2:9" ht="12.75" hidden="1">
      <c r="B676" s="22"/>
      <c r="C676" s="22"/>
      <c r="D676" s="22"/>
      <c r="E676" s="22"/>
      <c r="F676" s="22"/>
      <c r="G676" s="22"/>
      <c r="H676" s="22"/>
      <c r="I676" s="22"/>
    </row>
    <row r="677" spans="2:9" ht="12.75" hidden="1">
      <c r="B677" s="22"/>
      <c r="C677" s="22"/>
      <c r="D677" s="22"/>
      <c r="E677" s="22"/>
      <c r="F677" s="22"/>
      <c r="G677" s="22"/>
      <c r="H677" s="22"/>
      <c r="I677" s="22"/>
    </row>
    <row r="678" spans="2:9" ht="12.75" hidden="1">
      <c r="B678" s="22"/>
      <c r="C678" s="22"/>
      <c r="D678" s="22"/>
      <c r="E678" s="22"/>
      <c r="F678" s="22"/>
      <c r="G678" s="22"/>
      <c r="H678" s="22"/>
      <c r="I678" s="22"/>
    </row>
    <row r="679" spans="2:9" ht="12.75" hidden="1">
      <c r="B679" s="22"/>
      <c r="C679" s="22"/>
      <c r="D679" s="22"/>
      <c r="E679" s="22"/>
      <c r="F679" s="22"/>
      <c r="G679" s="22"/>
      <c r="H679" s="22"/>
      <c r="I679" s="22"/>
    </row>
    <row r="680" spans="2:9" ht="12.75" hidden="1">
      <c r="B680" s="22"/>
      <c r="C680" s="22"/>
      <c r="D680" s="22"/>
      <c r="E680" s="22"/>
      <c r="F680" s="22"/>
      <c r="G680" s="22"/>
      <c r="H680" s="22"/>
      <c r="I680" s="22"/>
    </row>
    <row r="681" spans="2:9" ht="12.75" hidden="1">
      <c r="B681" s="22"/>
      <c r="C681" s="22"/>
      <c r="D681" s="22"/>
      <c r="E681" s="22"/>
      <c r="F681" s="22"/>
      <c r="G681" s="22"/>
      <c r="H681" s="22"/>
      <c r="I681" s="22"/>
    </row>
    <row r="682" spans="2:9" ht="12.75" hidden="1">
      <c r="B682" s="22"/>
      <c r="C682" s="22"/>
      <c r="D682" s="22"/>
      <c r="E682" s="22"/>
      <c r="F682" s="22"/>
      <c r="G682" s="22"/>
      <c r="H682" s="22"/>
      <c r="I682" s="22"/>
    </row>
    <row r="683" spans="2:9" ht="12.75" hidden="1">
      <c r="B683" s="22"/>
      <c r="C683" s="22"/>
      <c r="D683" s="22"/>
      <c r="E683" s="22"/>
      <c r="F683" s="22"/>
      <c r="G683" s="22"/>
      <c r="H683" s="22"/>
      <c r="I683" s="22"/>
    </row>
    <row r="684" spans="2:9" ht="12.75" hidden="1">
      <c r="B684" s="22"/>
      <c r="C684" s="22"/>
      <c r="D684" s="22"/>
      <c r="E684" s="22"/>
      <c r="F684" s="22"/>
      <c r="G684" s="22"/>
      <c r="H684" s="22"/>
      <c r="I684" s="22"/>
    </row>
    <row r="685" spans="2:9" ht="12.75" hidden="1">
      <c r="B685" s="22"/>
      <c r="C685" s="22"/>
      <c r="D685" s="22"/>
      <c r="E685" s="22"/>
      <c r="F685" s="22"/>
      <c r="G685" s="22"/>
      <c r="H685" s="22"/>
      <c r="I685" s="22"/>
    </row>
    <row r="686" spans="2:9" ht="12.75" hidden="1">
      <c r="B686" s="22"/>
      <c r="C686" s="22"/>
      <c r="D686" s="22"/>
      <c r="E686" s="22"/>
      <c r="F686" s="22"/>
      <c r="G686" s="22"/>
      <c r="H686" s="22"/>
      <c r="I686" s="22"/>
    </row>
    <row r="687" spans="2:9" ht="12.75" hidden="1">
      <c r="B687" s="22"/>
      <c r="C687" s="22"/>
      <c r="D687" s="22"/>
      <c r="E687" s="22"/>
      <c r="F687" s="22"/>
      <c r="G687" s="22"/>
      <c r="H687" s="22"/>
      <c r="I687" s="22"/>
    </row>
    <row r="688" spans="2:9" ht="12.75" hidden="1">
      <c r="B688" s="22"/>
      <c r="C688" s="22"/>
      <c r="D688" s="22"/>
      <c r="E688" s="22"/>
      <c r="F688" s="22"/>
      <c r="G688" s="22"/>
      <c r="H688" s="22"/>
      <c r="I688" s="22"/>
    </row>
    <row r="689" spans="2:9" ht="12.75" hidden="1">
      <c r="B689" s="22"/>
      <c r="C689" s="22"/>
      <c r="D689" s="22"/>
      <c r="E689" s="22"/>
      <c r="F689" s="22"/>
      <c r="G689" s="22"/>
      <c r="H689" s="22"/>
      <c r="I689" s="22"/>
    </row>
    <row r="690" spans="2:9" ht="12.75" hidden="1">
      <c r="B690" s="22"/>
      <c r="C690" s="22"/>
      <c r="D690" s="22"/>
      <c r="E690" s="22"/>
      <c r="F690" s="22"/>
      <c r="G690" s="22"/>
      <c r="H690" s="22"/>
      <c r="I690" s="22"/>
    </row>
    <row r="691" spans="2:9" ht="12.75" hidden="1">
      <c r="B691" s="22"/>
      <c r="C691" s="22"/>
      <c r="D691" s="22"/>
      <c r="E691" s="22"/>
      <c r="F691" s="22"/>
      <c r="G691" s="22"/>
      <c r="H691" s="22"/>
      <c r="I691" s="22"/>
    </row>
    <row r="692" spans="2:9" ht="12.75" hidden="1">
      <c r="B692" s="22"/>
      <c r="C692" s="22"/>
      <c r="D692" s="22"/>
      <c r="E692" s="22"/>
      <c r="F692" s="22"/>
      <c r="G692" s="22"/>
      <c r="H692" s="22"/>
      <c r="I692" s="22"/>
    </row>
    <row r="693" spans="2:9" ht="12.75" hidden="1">
      <c r="B693" s="22"/>
      <c r="C693" s="22"/>
      <c r="D693" s="22"/>
      <c r="E693" s="22"/>
      <c r="F693" s="22"/>
      <c r="G693" s="22"/>
      <c r="H693" s="22"/>
      <c r="I693" s="22"/>
    </row>
    <row r="694" spans="2:9" ht="12.75" hidden="1">
      <c r="B694" s="22"/>
      <c r="C694" s="22"/>
      <c r="D694" s="22"/>
      <c r="E694" s="22"/>
      <c r="F694" s="22"/>
      <c r="G694" s="22"/>
      <c r="H694" s="22"/>
      <c r="I694" s="22"/>
    </row>
    <row r="695" spans="2:9" ht="12.75" hidden="1">
      <c r="B695" s="22"/>
      <c r="C695" s="22"/>
      <c r="D695" s="22"/>
      <c r="E695" s="22"/>
      <c r="F695" s="22"/>
      <c r="G695" s="22"/>
      <c r="H695" s="22"/>
      <c r="I695" s="22"/>
    </row>
    <row r="696" spans="2:9" ht="12.75" hidden="1">
      <c r="B696" s="22"/>
      <c r="C696" s="22"/>
      <c r="D696" s="22"/>
      <c r="E696" s="22"/>
      <c r="F696" s="22"/>
      <c r="G696" s="22"/>
      <c r="H696" s="22"/>
      <c r="I696" s="22"/>
    </row>
    <row r="697" spans="2:9" ht="12.75" hidden="1">
      <c r="B697" s="22"/>
      <c r="C697" s="22"/>
      <c r="D697" s="22"/>
      <c r="E697" s="22"/>
      <c r="F697" s="22"/>
      <c r="G697" s="22"/>
      <c r="H697" s="22"/>
      <c r="I697" s="22"/>
    </row>
    <row r="698" spans="2:9" ht="12.75" hidden="1">
      <c r="B698" s="22"/>
      <c r="C698" s="22"/>
      <c r="D698" s="22"/>
      <c r="E698" s="22"/>
      <c r="F698" s="22"/>
      <c r="G698" s="22"/>
      <c r="H698" s="22"/>
      <c r="I698" s="22"/>
    </row>
    <row r="699" spans="2:9" ht="12.75" hidden="1">
      <c r="B699" s="22"/>
      <c r="C699" s="22"/>
      <c r="D699" s="22"/>
      <c r="E699" s="22"/>
      <c r="F699" s="22"/>
      <c r="G699" s="22"/>
      <c r="H699" s="22"/>
      <c r="I699" s="22"/>
    </row>
    <row r="700" spans="2:9" ht="12.75" hidden="1">
      <c r="B700" s="22"/>
      <c r="C700" s="22"/>
      <c r="D700" s="22"/>
      <c r="E700" s="22"/>
      <c r="F700" s="22"/>
      <c r="G700" s="22"/>
      <c r="H700" s="22"/>
      <c r="I700" s="22"/>
    </row>
    <row r="701" spans="2:9" ht="12.75" hidden="1">
      <c r="B701" s="22"/>
      <c r="C701" s="22"/>
      <c r="D701" s="22"/>
      <c r="E701" s="22"/>
      <c r="F701" s="22"/>
      <c r="G701" s="22"/>
      <c r="H701" s="22"/>
      <c r="I701" s="22"/>
    </row>
    <row r="702" spans="2:9" ht="12.75" hidden="1">
      <c r="B702" s="22"/>
      <c r="C702" s="22"/>
      <c r="D702" s="22"/>
      <c r="E702" s="22"/>
      <c r="F702" s="22"/>
      <c r="G702" s="22"/>
      <c r="H702" s="22"/>
      <c r="I702" s="22"/>
    </row>
    <row r="703" spans="2:9" ht="12.75" hidden="1">
      <c r="B703" s="22"/>
      <c r="C703" s="22"/>
      <c r="D703" s="22"/>
      <c r="E703" s="22"/>
      <c r="F703" s="22"/>
      <c r="G703" s="22"/>
      <c r="H703" s="22"/>
      <c r="I703" s="22"/>
    </row>
    <row r="704" spans="2:9" ht="12.75" hidden="1">
      <c r="B704" s="22"/>
      <c r="C704" s="22"/>
      <c r="D704" s="22"/>
      <c r="E704" s="22"/>
      <c r="F704" s="22"/>
      <c r="G704" s="22"/>
      <c r="H704" s="22"/>
      <c r="I704" s="22"/>
    </row>
    <row r="705" spans="2:9" ht="12.75" hidden="1">
      <c r="B705" s="22"/>
      <c r="C705" s="22"/>
      <c r="D705" s="22"/>
      <c r="E705" s="22"/>
      <c r="F705" s="22"/>
      <c r="G705" s="22"/>
      <c r="H705" s="22"/>
      <c r="I705" s="22"/>
    </row>
    <row r="706" spans="2:9" ht="12.75" hidden="1">
      <c r="B706" s="22"/>
      <c r="C706" s="22"/>
      <c r="D706" s="22"/>
      <c r="E706" s="22"/>
      <c r="F706" s="22"/>
      <c r="G706" s="22"/>
      <c r="H706" s="22"/>
      <c r="I706" s="22"/>
    </row>
    <row r="707" spans="2:9" ht="12.75" hidden="1">
      <c r="B707" s="22"/>
      <c r="C707" s="22"/>
      <c r="D707" s="22"/>
      <c r="E707" s="22"/>
      <c r="F707" s="22"/>
      <c r="G707" s="22"/>
      <c r="H707" s="22"/>
      <c r="I707" s="22"/>
    </row>
    <row r="708" spans="2:9" ht="12.75" hidden="1">
      <c r="B708" s="22"/>
      <c r="C708" s="22"/>
      <c r="D708" s="22"/>
      <c r="E708" s="22"/>
      <c r="F708" s="22"/>
      <c r="G708" s="22"/>
      <c r="H708" s="22"/>
      <c r="I708" s="22"/>
    </row>
    <row r="709" spans="2:9" ht="12.75" hidden="1">
      <c r="B709" s="22"/>
      <c r="C709" s="22"/>
      <c r="D709" s="22"/>
      <c r="E709" s="22"/>
      <c r="F709" s="22"/>
      <c r="G709" s="22"/>
      <c r="H709" s="22"/>
      <c r="I709" s="22"/>
    </row>
    <row r="710" spans="2:9" ht="12.75" hidden="1">
      <c r="B710" s="22"/>
      <c r="C710" s="22"/>
      <c r="D710" s="22"/>
      <c r="E710" s="22"/>
      <c r="F710" s="22"/>
      <c r="G710" s="22"/>
      <c r="H710" s="22"/>
      <c r="I710" s="22"/>
    </row>
    <row r="711" spans="2:9" ht="12.75" hidden="1">
      <c r="B711" s="22"/>
      <c r="C711" s="22"/>
      <c r="D711" s="22"/>
      <c r="E711" s="22"/>
      <c r="F711" s="22"/>
      <c r="G711" s="22"/>
      <c r="H711" s="22"/>
      <c r="I711" s="22"/>
    </row>
    <row r="712" spans="2:9" ht="12.75" hidden="1">
      <c r="B712" s="22"/>
      <c r="C712" s="22"/>
      <c r="D712" s="22"/>
      <c r="E712" s="22"/>
      <c r="F712" s="22"/>
      <c r="G712" s="22"/>
      <c r="H712" s="22"/>
      <c r="I712" s="22"/>
    </row>
    <row r="713" spans="2:9" ht="12.75" hidden="1">
      <c r="B713" s="22"/>
      <c r="C713" s="22"/>
      <c r="D713" s="22"/>
      <c r="E713" s="22"/>
      <c r="F713" s="22"/>
      <c r="G713" s="22"/>
      <c r="H713" s="22"/>
      <c r="I713" s="22"/>
    </row>
    <row r="714" spans="2:9" ht="12.75" hidden="1">
      <c r="B714" s="22"/>
      <c r="C714" s="22"/>
      <c r="D714" s="22"/>
      <c r="E714" s="22"/>
      <c r="F714" s="22"/>
      <c r="G714" s="22"/>
      <c r="H714" s="22"/>
      <c r="I714" s="22"/>
    </row>
    <row r="715" spans="2:9" ht="12.75" hidden="1">
      <c r="B715" s="22"/>
      <c r="C715" s="22"/>
      <c r="D715" s="22"/>
      <c r="E715" s="22"/>
      <c r="F715" s="22"/>
      <c r="G715" s="22"/>
      <c r="H715" s="22"/>
      <c r="I715" s="22"/>
    </row>
    <row r="716" spans="2:9" ht="12.75" hidden="1">
      <c r="B716" s="22"/>
      <c r="C716" s="22"/>
      <c r="D716" s="22"/>
      <c r="E716" s="22"/>
      <c r="F716" s="22"/>
      <c r="G716" s="22"/>
      <c r="H716" s="22"/>
      <c r="I716" s="22"/>
    </row>
    <row r="717" spans="2:9" ht="12.75" hidden="1">
      <c r="B717" s="22"/>
      <c r="C717" s="22"/>
      <c r="D717" s="22"/>
      <c r="E717" s="22"/>
      <c r="F717" s="22"/>
      <c r="G717" s="22"/>
      <c r="H717" s="22"/>
      <c r="I717" s="22"/>
    </row>
    <row r="718" spans="2:9" ht="12.75" hidden="1">
      <c r="B718" s="22"/>
      <c r="C718" s="22"/>
      <c r="D718" s="22"/>
      <c r="E718" s="22"/>
      <c r="F718" s="22"/>
      <c r="G718" s="22"/>
      <c r="H718" s="22"/>
      <c r="I718" s="22"/>
    </row>
    <row r="719" spans="2:9" ht="12.75" hidden="1">
      <c r="B719" s="22"/>
      <c r="C719" s="22"/>
      <c r="D719" s="22"/>
      <c r="E719" s="22"/>
      <c r="F719" s="22"/>
      <c r="G719" s="22"/>
      <c r="H719" s="22"/>
      <c r="I719" s="22"/>
    </row>
    <row r="720" spans="2:9" ht="12.75" hidden="1">
      <c r="B720" s="22"/>
      <c r="C720" s="22"/>
      <c r="D720" s="22"/>
      <c r="E720" s="22"/>
      <c r="F720" s="22"/>
      <c r="G720" s="22"/>
      <c r="H720" s="22"/>
      <c r="I720" s="22"/>
    </row>
    <row r="721" spans="2:9" ht="12.75" hidden="1">
      <c r="B721" s="22"/>
      <c r="C721" s="22"/>
      <c r="D721" s="22"/>
      <c r="E721" s="22"/>
      <c r="F721" s="22"/>
      <c r="G721" s="22"/>
      <c r="H721" s="22"/>
      <c r="I721" s="22"/>
    </row>
    <row r="722" spans="2:9" ht="12.75" hidden="1">
      <c r="B722" s="22"/>
      <c r="C722" s="22"/>
      <c r="D722" s="22"/>
      <c r="E722" s="22"/>
      <c r="F722" s="22"/>
      <c r="G722" s="22"/>
      <c r="H722" s="22"/>
      <c r="I722" s="22"/>
    </row>
    <row r="723" spans="2:9" ht="12.75" hidden="1">
      <c r="B723" s="22"/>
      <c r="C723" s="22"/>
      <c r="D723" s="22"/>
      <c r="E723" s="22"/>
      <c r="F723" s="22"/>
      <c r="G723" s="22"/>
      <c r="H723" s="22"/>
      <c r="I723" s="22"/>
    </row>
    <row r="724" spans="2:9" ht="12.75" hidden="1">
      <c r="B724" s="22"/>
      <c r="C724" s="22"/>
      <c r="D724" s="22"/>
      <c r="E724" s="22"/>
      <c r="F724" s="22"/>
      <c r="G724" s="22"/>
      <c r="H724" s="22"/>
      <c r="I724" s="22"/>
    </row>
    <row r="725" spans="2:9" ht="12.75" hidden="1">
      <c r="B725" s="22"/>
      <c r="C725" s="22"/>
      <c r="D725" s="22"/>
      <c r="E725" s="22"/>
      <c r="F725" s="22"/>
      <c r="G725" s="22"/>
      <c r="H725" s="22"/>
      <c r="I725" s="22"/>
    </row>
    <row r="726" spans="2:9" ht="12.75" hidden="1">
      <c r="B726" s="22"/>
      <c r="C726" s="22"/>
      <c r="D726" s="22"/>
      <c r="E726" s="22"/>
      <c r="F726" s="22"/>
      <c r="G726" s="22"/>
      <c r="H726" s="22"/>
      <c r="I726" s="22"/>
    </row>
    <row r="727" spans="2:9" ht="12.75" hidden="1">
      <c r="B727" s="22"/>
      <c r="C727" s="22"/>
      <c r="D727" s="22"/>
      <c r="E727" s="22"/>
      <c r="F727" s="22"/>
      <c r="G727" s="22"/>
      <c r="H727" s="22"/>
      <c r="I727" s="22"/>
    </row>
    <row r="728" ht="12.75" hidden="1"/>
    <row r="729" ht="13.5" thickTop="1"/>
    <row r="730" ht="12.75"/>
    <row r="731" ht="12.75"/>
  </sheetData>
  <sheetProtection/>
  <mergeCells count="6">
    <mergeCell ref="P33:U33"/>
    <mergeCell ref="E24:F24"/>
    <mergeCell ref="R71:T71"/>
    <mergeCell ref="P42:T42"/>
    <mergeCell ref="J42:N42"/>
    <mergeCell ref="N66:P66"/>
  </mergeCells>
  <conditionalFormatting sqref="N24">
    <cfRule type="cellIs" priority="1" dxfId="0" operator="equal" stopIfTrue="1">
      <formula>"Yes"</formula>
    </cfRule>
  </conditionalFormatting>
  <dataValidations count="9">
    <dataValidation type="whole" allowBlank="1" showInputMessage="1" showErrorMessage="1" errorTitle="Scale Validation" error="You must enter a valid scale, between zero and nine." sqref="E34">
      <formula1>0</formula1>
      <formula2>9</formula2>
    </dataValidation>
    <dataValidation type="whole" allowBlank="1" showInputMessage="1" showErrorMessage="1" errorTitle="Assistant error" error="You must enter a valid step level for Asst. Prof, between 1 and 6." sqref="E36">
      <formula1>1</formula1>
      <formula2>6</formula2>
    </dataValidation>
    <dataValidation type="whole" allowBlank="1" showInputMessage="1" showErrorMessage="1" errorTitle="Assoc Error" error="You must enter a valid step level for Assoc Prof, between 1 and 5." sqref="E37">
      <formula1>1</formula1>
      <formula2>5</formula2>
    </dataValidation>
    <dataValidation type="decimal" allowBlank="1" showInputMessage="1" showErrorMessage="1" errorTitle="Percent Error" error="You must enter a decimal number between 0 and 1, such as .60 to denote 60% time." sqref="E33">
      <formula1>0</formula1>
      <formula2>1</formula2>
    </dataValidation>
    <dataValidation type="decimal" allowBlank="1" showInputMessage="1" showErrorMessage="1" errorTitle="Target Percent" error="You must enter a valid percentage." sqref="F45:F64">
      <formula1>0</formula1>
      <formula2>1</formula2>
    </dataValidation>
    <dataValidation allowBlank="1" showInputMessage="1" showErrorMessage="1" errorTitle="Scale Validation" error="You must enter the letter &quot;x&quot; to calculate for Instructor." sqref="E35"/>
    <dataValidation type="whole" operator="greaterThanOrEqual" allowBlank="1" showInputMessage="1" showErrorMessage="1" errorTitle="Prof base" error="You must enter an approved above scale base in order to use the above scale calcution sheet.  If approved base is equal to or below $148,900, use regular or offscale calculation sheet." sqref="E38">
      <formula1>148900</formula1>
    </dataValidation>
    <dataValidation type="whole" allowBlank="1" showInputMessage="1" showErrorMessage="1" error="Please enter a number between 1 and 11 to specify NIH Cap." sqref="A54:A64">
      <formula1>1</formula1>
      <formula2>11</formula2>
    </dataValidation>
    <dataValidation type="whole" allowBlank="1" showInputMessage="1" showErrorMessage="1" errorTitle="Salary Cap" error="Enter a number between 1 and 11 to represent the appropriate NIH salary cap, if any." sqref="A45:A53">
      <formula1>1</formula1>
      <formula2>12</formula2>
    </dataValidation>
  </dataValidations>
  <hyperlinks>
    <hyperlink ref="A41" location="Sheet1!D11" display="?"/>
    <hyperlink ref="A2" location="AboveScaleInstr!A1" display="?"/>
    <hyperlink ref="G5" location="GenlInstr!B9" display="?"/>
    <hyperlink ref="K4" location="GenlInstr!F9" display="GenlInstr!F9"/>
    <hyperlink ref="F28" location="GenlInstr!D9" display="?"/>
    <hyperlink ref="F33" location="GenlInstr!B10" display="?"/>
    <hyperlink ref="F34" location="GenlInstr!D10" display="?"/>
    <hyperlink ref="P31" location="GenlInstr!B11" display="?"/>
    <hyperlink ref="A66" location="GenlInstr!B13" display="?"/>
    <hyperlink ref="K66" location="GenlInstr!D13" display="?"/>
  </hyperlinks>
  <printOptions/>
  <pageMargins left="0.2" right="0.2" top="0.25" bottom="0.25" header="0.33" footer="0.5"/>
  <pageSetup fitToHeight="1" fitToWidth="1" horizontalDpi="300" verticalDpi="300" orientation="landscape" scale="54" r:id="rId4"/>
  <headerFooter alignWithMargins="0">
    <oddFooter>&amp;L&amp;8Printed:  &amp;D @ &amp;T&amp;R&amp;7s:\decision\carrie\adhocs\salary templates\ucdsom_facsal_templates_042804.xls</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5">
    <tabColor rgb="FF7030A0"/>
    <pageSetUpPr fitToPage="1"/>
  </sheetPr>
  <dimension ref="A1:G37"/>
  <sheetViews>
    <sheetView zoomScale="75" zoomScaleNormal="75" zoomScalePageLayoutView="0" workbookViewId="0" topLeftCell="A3">
      <selection activeCell="I15" sqref="I15:L15"/>
    </sheetView>
  </sheetViews>
  <sheetFormatPr defaultColWidth="0" defaultRowHeight="12.75"/>
  <cols>
    <col min="1" max="1" width="5.7109375" style="0" customWidth="1"/>
    <col min="2" max="2" width="38.7109375" style="0" customWidth="1"/>
    <col min="3" max="3" width="5.7109375" style="0" customWidth="1"/>
    <col min="4" max="4" width="38.7109375" style="0" customWidth="1"/>
    <col min="5" max="5" width="5.7109375" style="0" customWidth="1"/>
    <col min="6" max="6" width="38.7109375" style="0" customWidth="1"/>
    <col min="7" max="7" width="9.140625" style="0" customWidth="1"/>
    <col min="8" max="8" width="4.421875" style="0" customWidth="1"/>
    <col min="9" max="16384" width="0" style="0" hidden="1" customWidth="1"/>
  </cols>
  <sheetData>
    <row r="1" spans="1:7" ht="12.75">
      <c r="A1" s="908" t="s">
        <v>23</v>
      </c>
      <c r="B1" s="908"/>
      <c r="C1" s="908"/>
      <c r="D1" s="908"/>
      <c r="E1" s="908"/>
      <c r="F1" s="908"/>
      <c r="G1" s="909"/>
    </row>
    <row r="2" spans="1:7" ht="50.25" customHeight="1">
      <c r="A2" s="80"/>
      <c r="B2" s="80"/>
      <c r="C2" s="80"/>
      <c r="D2" s="80"/>
      <c r="E2" s="80"/>
      <c r="F2" s="80"/>
      <c r="G2" s="120"/>
    </row>
    <row r="3" spans="1:7" ht="26.25" customHeight="1">
      <c r="A3" s="80"/>
      <c r="B3" s="80"/>
      <c r="C3" s="80"/>
      <c r="D3" s="80"/>
      <c r="E3" s="80"/>
      <c r="F3" s="80"/>
      <c r="G3" s="120"/>
    </row>
    <row r="4" spans="1:7" ht="119.25" customHeight="1">
      <c r="A4" s="121"/>
      <c r="B4" s="121" t="s">
        <v>94</v>
      </c>
      <c r="C4" s="121"/>
      <c r="D4" s="121" t="s">
        <v>55</v>
      </c>
      <c r="E4" s="119"/>
      <c r="F4" s="121" t="s">
        <v>161</v>
      </c>
      <c r="G4" s="122"/>
    </row>
    <row r="5" spans="1:7" ht="12.75">
      <c r="A5" s="91"/>
      <c r="B5" s="910"/>
      <c r="C5" s="908"/>
      <c r="D5" s="908"/>
      <c r="E5" s="908"/>
      <c r="F5" s="908"/>
      <c r="G5" s="124"/>
    </row>
    <row r="6" spans="1:7" ht="12.75">
      <c r="A6" s="91"/>
      <c r="B6" s="123"/>
      <c r="C6" s="80"/>
      <c r="D6" s="80"/>
      <c r="E6" s="80"/>
      <c r="F6" s="911"/>
      <c r="G6" s="124"/>
    </row>
    <row r="7" spans="1:7" ht="12.75">
      <c r="A7" s="912"/>
      <c r="B7" s="913"/>
      <c r="C7" s="125"/>
      <c r="D7" s="125"/>
      <c r="E7" s="126"/>
      <c r="F7" s="911"/>
      <c r="G7" s="127"/>
    </row>
    <row r="8" spans="1:7" ht="12.75">
      <c r="A8" s="126"/>
      <c r="B8" s="120"/>
      <c r="C8" s="128"/>
      <c r="D8" s="129"/>
      <c r="E8" s="130"/>
      <c r="F8" s="131"/>
      <c r="G8" s="132"/>
    </row>
    <row r="9" spans="1:7" ht="178.5">
      <c r="A9" s="133">
        <v>1</v>
      </c>
      <c r="B9" s="134" t="s">
        <v>143</v>
      </c>
      <c r="C9" s="135">
        <v>2</v>
      </c>
      <c r="D9" s="134" t="s">
        <v>145</v>
      </c>
      <c r="E9" s="135">
        <v>3</v>
      </c>
      <c r="F9" s="136" t="s">
        <v>144</v>
      </c>
      <c r="G9" s="137"/>
    </row>
    <row r="10" spans="1:7" ht="153">
      <c r="A10" s="138">
        <v>4</v>
      </c>
      <c r="B10" s="139" t="s">
        <v>146</v>
      </c>
      <c r="C10" s="138">
        <v>5</v>
      </c>
      <c r="D10" s="139" t="s">
        <v>62</v>
      </c>
      <c r="E10" s="140">
        <v>6</v>
      </c>
      <c r="F10" s="141" t="s">
        <v>104</v>
      </c>
      <c r="G10" s="142"/>
    </row>
    <row r="11" spans="1:7" ht="255">
      <c r="A11" s="143">
        <v>7</v>
      </c>
      <c r="B11" s="144" t="s">
        <v>157</v>
      </c>
      <c r="C11" s="98">
        <v>8</v>
      </c>
      <c r="D11" s="666" t="s">
        <v>188</v>
      </c>
      <c r="E11" s="143">
        <v>9</v>
      </c>
      <c r="F11" s="131" t="s">
        <v>103</v>
      </c>
      <c r="G11" s="145"/>
    </row>
    <row r="12" spans="1:7" ht="112.5">
      <c r="A12" s="146"/>
      <c r="B12" s="147"/>
      <c r="C12" s="146"/>
      <c r="D12" s="148" t="s">
        <v>147</v>
      </c>
      <c r="E12" s="149"/>
      <c r="F12" s="150"/>
      <c r="G12" s="151"/>
    </row>
    <row r="13" spans="1:7" ht="63.75">
      <c r="A13" s="146">
        <v>10</v>
      </c>
      <c r="B13" s="134" t="s">
        <v>159</v>
      </c>
      <c r="C13" s="146">
        <v>11</v>
      </c>
      <c r="D13" s="134" t="s">
        <v>160</v>
      </c>
      <c r="E13" s="91"/>
      <c r="F13" s="91"/>
      <c r="G13" s="152"/>
    </row>
    <row r="14" spans="1:7" ht="12.75">
      <c r="A14" s="91"/>
      <c r="B14" s="153"/>
      <c r="C14" s="118"/>
      <c r="D14" s="930"/>
      <c r="E14" s="930"/>
      <c r="F14" s="930"/>
      <c r="G14" s="124"/>
    </row>
    <row r="15" spans="1:7" ht="12.75">
      <c r="A15" s="91"/>
      <c r="B15" s="153"/>
      <c r="C15" s="118"/>
      <c r="D15" s="930"/>
      <c r="E15" s="930"/>
      <c r="F15" s="930"/>
      <c r="G15" s="124"/>
    </row>
    <row r="16" spans="1:7" ht="12.75">
      <c r="A16" s="91"/>
      <c r="B16" s="153"/>
      <c r="C16" s="80"/>
      <c r="D16" s="921"/>
      <c r="E16" s="921"/>
      <c r="F16" s="921"/>
      <c r="G16" s="120"/>
    </row>
    <row r="17" spans="1:7" ht="12.75">
      <c r="A17" s="91"/>
      <c r="B17" s="153"/>
      <c r="C17" s="80"/>
      <c r="D17" s="119"/>
      <c r="E17" s="119"/>
      <c r="F17" s="119"/>
      <c r="G17" s="120"/>
    </row>
    <row r="18" spans="1:7" ht="13.5" thickBot="1">
      <c r="A18" s="91"/>
      <c r="B18" s="154"/>
      <c r="C18" s="91"/>
      <c r="D18" s="921"/>
      <c r="E18" s="921"/>
      <c r="F18" s="921"/>
      <c r="G18" s="152"/>
    </row>
    <row r="19" spans="1:7" ht="40.5" customHeight="1">
      <c r="A19" s="155"/>
      <c r="B19" s="156"/>
      <c r="C19" s="157"/>
      <c r="D19" s="158"/>
      <c r="E19" s="159"/>
      <c r="F19" s="160"/>
      <c r="G19" s="152"/>
    </row>
    <row r="20" spans="1:7" ht="27" customHeight="1">
      <c r="A20" s="161"/>
      <c r="B20" s="153"/>
      <c r="C20" s="119"/>
      <c r="D20" s="119"/>
      <c r="E20" s="162"/>
      <c r="F20" s="163"/>
      <c r="G20" s="152"/>
    </row>
    <row r="21" spans="1:7" ht="40.5" customHeight="1">
      <c r="A21" s="914" t="s">
        <v>148</v>
      </c>
      <c r="B21" s="915"/>
      <c r="C21" s="915"/>
      <c r="D21" s="915"/>
      <c r="E21" s="916"/>
      <c r="F21" s="164"/>
      <c r="G21" s="124"/>
    </row>
    <row r="22" spans="1:7" ht="79.5" customHeight="1">
      <c r="A22" s="914" t="s">
        <v>152</v>
      </c>
      <c r="B22" s="930"/>
      <c r="C22" s="930"/>
      <c r="D22" s="930"/>
      <c r="E22" s="931"/>
      <c r="F22" s="164"/>
      <c r="G22" s="124"/>
    </row>
    <row r="23" spans="1:7" ht="71.25" customHeight="1">
      <c r="A23" s="920" t="s">
        <v>149</v>
      </c>
      <c r="B23" s="921"/>
      <c r="C23" s="921"/>
      <c r="D23" s="921"/>
      <c r="E23" s="922"/>
      <c r="F23" s="161"/>
      <c r="G23" s="152"/>
    </row>
    <row r="24" spans="1:7" ht="64.5" customHeight="1">
      <c r="A24" s="920" t="s">
        <v>150</v>
      </c>
      <c r="B24" s="921"/>
      <c r="C24" s="921"/>
      <c r="D24" s="921"/>
      <c r="E24" s="922"/>
      <c r="F24" s="163"/>
      <c r="G24" s="122"/>
    </row>
    <row r="25" spans="1:7" ht="32.25" customHeight="1">
      <c r="A25" s="923" t="s">
        <v>151</v>
      </c>
      <c r="B25" s="924"/>
      <c r="C25" s="924"/>
      <c r="D25" s="924"/>
      <c r="E25" s="925"/>
      <c r="F25" s="161"/>
      <c r="G25" s="152"/>
    </row>
    <row r="26" spans="1:7" ht="12.75">
      <c r="A26" s="923"/>
      <c r="B26" s="924"/>
      <c r="C26" s="924"/>
      <c r="D26" s="924"/>
      <c r="E26" s="925"/>
      <c r="F26" s="161"/>
      <c r="G26" s="152"/>
    </row>
    <row r="27" spans="1:7" ht="18" customHeight="1">
      <c r="A27" s="926"/>
      <c r="B27" s="927"/>
      <c r="C27" s="927"/>
      <c r="D27" s="927"/>
      <c r="E27" s="928"/>
      <c r="F27" s="161"/>
      <c r="G27" s="152"/>
    </row>
    <row r="28" spans="1:7" ht="18" customHeight="1">
      <c r="A28" s="161"/>
      <c r="B28" s="91"/>
      <c r="C28" s="91"/>
      <c r="D28" s="91"/>
      <c r="E28" s="165"/>
      <c r="F28" s="161"/>
      <c r="G28" s="152"/>
    </row>
    <row r="29" spans="1:7" ht="18" customHeight="1">
      <c r="A29" s="920"/>
      <c r="B29" s="908"/>
      <c r="C29" s="908"/>
      <c r="D29" s="908"/>
      <c r="E29" s="929"/>
      <c r="F29" s="161"/>
      <c r="G29" s="152"/>
    </row>
    <row r="30" spans="1:7" ht="13.5" thickBot="1">
      <c r="A30" s="917"/>
      <c r="B30" s="918"/>
      <c r="C30" s="918"/>
      <c r="D30" s="918"/>
      <c r="E30" s="919"/>
      <c r="F30" s="161"/>
      <c r="G30" s="152"/>
    </row>
    <row r="31" spans="1:7" ht="12.75">
      <c r="A31" s="91"/>
      <c r="B31" s="91"/>
      <c r="C31" s="91"/>
      <c r="D31" s="91"/>
      <c r="E31" s="91"/>
      <c r="F31" s="91"/>
      <c r="G31" s="152"/>
    </row>
    <row r="32" spans="1:7" ht="12.75">
      <c r="A32" s="91"/>
      <c r="B32" s="91"/>
      <c r="C32" s="91"/>
      <c r="D32" s="91"/>
      <c r="E32" s="91"/>
      <c r="F32" s="91"/>
      <c r="G32" s="152"/>
    </row>
    <row r="33" spans="1:7" ht="12.75">
      <c r="A33" s="91"/>
      <c r="B33" s="91"/>
      <c r="C33" s="91"/>
      <c r="D33" s="91"/>
      <c r="E33" s="91"/>
      <c r="F33" s="91"/>
      <c r="G33" s="152"/>
    </row>
    <row r="34" spans="1:7" ht="12.75">
      <c r="A34" s="91"/>
      <c r="B34" s="91"/>
      <c r="C34" s="91"/>
      <c r="D34" s="91"/>
      <c r="E34" s="91"/>
      <c r="F34" s="91"/>
      <c r="G34" s="152"/>
    </row>
    <row r="35" spans="1:7" ht="12.75">
      <c r="A35" s="91"/>
      <c r="B35" s="91"/>
      <c r="C35" s="91"/>
      <c r="D35" s="91"/>
      <c r="E35" s="91"/>
      <c r="F35" s="91"/>
      <c r="G35" s="152"/>
    </row>
    <row r="36" spans="1:7" ht="12.75">
      <c r="A36" s="91"/>
      <c r="B36" s="91"/>
      <c r="C36" s="91"/>
      <c r="D36" s="91"/>
      <c r="E36" s="91"/>
      <c r="F36" s="91"/>
      <c r="G36" s="152"/>
    </row>
    <row r="37" spans="1:7" ht="12.75">
      <c r="A37" s="91"/>
      <c r="B37" s="91"/>
      <c r="C37" s="91"/>
      <c r="D37" s="91"/>
      <c r="E37" s="91"/>
      <c r="F37" s="91"/>
      <c r="G37" s="152"/>
    </row>
  </sheetData>
  <sheetProtection/>
  <mergeCells count="17">
    <mergeCell ref="D18:F18"/>
    <mergeCell ref="A29:E29"/>
    <mergeCell ref="A23:E23"/>
    <mergeCell ref="A22:E22"/>
    <mergeCell ref="D14:F14"/>
    <mergeCell ref="D15:F15"/>
    <mergeCell ref="D16:F16"/>
    <mergeCell ref="A1:G1"/>
    <mergeCell ref="B5:F5"/>
    <mergeCell ref="F6:F7"/>
    <mergeCell ref="A7:B7"/>
    <mergeCell ref="A21:E21"/>
    <mergeCell ref="A30:E30"/>
    <mergeCell ref="A24:E24"/>
    <mergeCell ref="A25:E25"/>
    <mergeCell ref="A26:E26"/>
    <mergeCell ref="A27:E27"/>
  </mergeCells>
  <hyperlinks>
    <hyperlink ref="B10" location="OnScaleCalc!F25" display="Now Tab down to enter Total Percent Time (1.00 is 100%, .50 is 50%, etc.).    "/>
    <hyperlink ref="B9" location="OnScaleCalc!F5" display="Enter the faculty member's Employee ID Number, PPS Position Control Number, Last and First Name and the inclusive period covered by the funding information you are going to enter."/>
    <hyperlink ref="D9" location="OnScaleCalc!F20" display="Tab down to enter the Annual Salary or the X Factor (where X = % of REG total, e.g. 200% entered as 2, if Annual Base REG is 52,300, X factor of 2 would equal total annual salary of 104,300. ) Note that if you enter the Annual Salary, the X Factor is calc"/>
    <hyperlink ref="F9" location="OnScaleCalc!L4" display="After the Annual Salary or X Factor has been entered, the field, 'Is Salary over low NIH Salary Cap?', will display either a 'Yes' or a 'No'.  A 'Yes' indicates that if any funding sources are subject to the NIH salary cap, enter a number 1-11 to the left"/>
    <hyperlink ref="F11" location="OnScaleCalc!P33" display="Page down until the 'Total Compensation Distribution' line at the bottom of the 'Funding Information' section is visible.  You will see that 'Derived Dollars' and 'Actual Percent' fields are now populated by fund; the 'Distribution' section's REG, HBT, HB"/>
    <hyperlink ref="F10" location="OnScaleCalc!F27" display="Tab down to the appropriate rank for this individual and enter either an 'x' (for an instructor) or the appropriate step (for faculty at the assistant, associate or full professor level).  The fields headed 'Full-Time Compensation by DOS Type' will now be"/>
    <hyperlink ref="D11" location="OnScaleCalc!A33" display="Now Tab down to enter funding information.  When a General Compensation or Med Comp Fundtype is selected, the targeted salary values entered previously will automatically appear under the Targeted salary - there is no need to edit these lines other than t"/>
    <hyperlink ref="D10" location="OnScaleCalc!F26" display="Tab down to the 'Scale' field and enter the number of the compensation plan salary scale (i.e., Scale 0 through 9) on which this faculty member is paid."/>
    <hyperlink ref="B13" location="OnScaleCalc!A58" display="At the bottom of this page, there are additional optional fields in which the department may enter comments, approval initials or signatures, and/or the date on which the form was created or processed."/>
    <hyperlink ref="D13" location="OnScaleCalc!L59" display="Once the form is complete, select the GENERATE OUTPUT to generate the summary report that will display all of the distributions to be entered."/>
    <hyperlink ref="B11" location="OnScaleCalc!P24" display="Enter the MONTHLY totals for each DOS code into the first line (refer to the full-time compensation by DOS type to the left for the values).  If the position has been allocated a general funded FTE, make sure to include a second line, with GenFunds select"/>
  </hyperlinks>
  <printOptions horizontalCentered="1"/>
  <pageMargins left="0.75" right="0.75" top="1" bottom="1" header="0.5" footer="0.5"/>
  <pageSetup fitToHeight="0" fitToWidth="1"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sheetPr codeName="Sheet6">
    <tabColor rgb="FFFF3300"/>
  </sheetPr>
  <dimension ref="A1:G13"/>
  <sheetViews>
    <sheetView zoomScalePageLayoutView="0" workbookViewId="0" topLeftCell="A1">
      <selection activeCell="I15" sqref="I15:L15"/>
    </sheetView>
  </sheetViews>
  <sheetFormatPr defaultColWidth="9.140625" defaultRowHeight="12.75"/>
  <cols>
    <col min="1" max="1" width="5.7109375" style="0" customWidth="1"/>
    <col min="2" max="2" width="38.7109375" style="0" customWidth="1"/>
    <col min="3" max="3" width="5.7109375" style="0" customWidth="1"/>
    <col min="4" max="4" width="38.7109375" style="0" customWidth="1"/>
    <col min="5" max="5" width="5.7109375" style="0" customWidth="1"/>
    <col min="6" max="6" width="38.7109375" style="0" customWidth="1"/>
  </cols>
  <sheetData>
    <row r="1" spans="1:7" ht="54.75" customHeight="1">
      <c r="A1" s="933"/>
      <c r="B1" s="933"/>
      <c r="C1" s="933"/>
      <c r="D1" s="933"/>
      <c r="E1" s="933"/>
      <c r="F1" s="933"/>
      <c r="G1" s="933"/>
    </row>
    <row r="2" spans="1:7" ht="53.25" customHeight="1">
      <c r="A2" s="79"/>
      <c r="B2" s="908"/>
      <c r="C2" s="908"/>
      <c r="D2" s="908"/>
      <c r="E2" s="908"/>
      <c r="F2" s="908"/>
      <c r="G2" s="80"/>
    </row>
    <row r="3" spans="1:7" ht="72.75" customHeight="1">
      <c r="A3" s="81"/>
      <c r="B3" s="936" t="s">
        <v>154</v>
      </c>
      <c r="C3" s="936"/>
      <c r="D3" s="936"/>
      <c r="E3" s="936"/>
      <c r="F3" s="936"/>
      <c r="G3" s="82"/>
    </row>
    <row r="4" spans="1:7" ht="39.75" customHeight="1">
      <c r="A4" s="81"/>
      <c r="B4" s="83"/>
      <c r="C4" s="84"/>
      <c r="D4" s="84"/>
      <c r="E4" s="84"/>
      <c r="F4" s="84"/>
      <c r="G4" s="82"/>
    </row>
    <row r="5" spans="1:7" ht="30" customHeight="1">
      <c r="A5" s="81"/>
      <c r="B5" s="937"/>
      <c r="C5" s="932"/>
      <c r="D5" s="932"/>
      <c r="E5" s="932"/>
      <c r="F5" s="932"/>
      <c r="G5" s="82"/>
    </row>
    <row r="6" spans="1:7" ht="12" customHeight="1">
      <c r="A6" s="934"/>
      <c r="B6" s="935"/>
      <c r="C6" s="935"/>
      <c r="D6" s="935"/>
      <c r="E6" s="935"/>
      <c r="F6" s="935"/>
      <c r="G6" s="935"/>
    </row>
    <row r="7" spans="1:7" ht="24.75" customHeight="1">
      <c r="A7" s="85" t="s">
        <v>23</v>
      </c>
      <c r="B7" s="921" t="s">
        <v>105</v>
      </c>
      <c r="C7" s="921"/>
      <c r="D7" s="921"/>
      <c r="E7" s="921"/>
      <c r="F7" s="921"/>
      <c r="G7" s="86"/>
    </row>
    <row r="8" spans="1:7" ht="24.75" customHeight="1">
      <c r="A8" s="80"/>
      <c r="B8" s="921"/>
      <c r="C8" s="921"/>
      <c r="D8" s="921"/>
      <c r="E8" s="921"/>
      <c r="F8" s="921"/>
      <c r="G8" s="86"/>
    </row>
    <row r="9" spans="1:7" ht="24.75" customHeight="1">
      <c r="A9" s="87"/>
      <c r="B9" s="915"/>
      <c r="C9" s="915"/>
      <c r="D9" s="915"/>
      <c r="E9" s="915"/>
      <c r="F9" s="915"/>
      <c r="G9" s="88"/>
    </row>
    <row r="10" spans="1:7" ht="24.75" customHeight="1">
      <c r="A10" s="89"/>
      <c r="B10" s="930" t="s">
        <v>153</v>
      </c>
      <c r="C10" s="921"/>
      <c r="D10" s="921"/>
      <c r="E10" s="921"/>
      <c r="F10" s="921"/>
      <c r="G10" s="80"/>
    </row>
    <row r="11" spans="1:7" ht="16.5" customHeight="1">
      <c r="A11" s="90"/>
      <c r="B11" s="932"/>
      <c r="C11" s="932"/>
      <c r="D11" s="932"/>
      <c r="E11" s="932"/>
      <c r="F11" s="932"/>
      <c r="G11" s="78"/>
    </row>
    <row r="12" spans="1:7" ht="12.75">
      <c r="A12" s="91"/>
      <c r="B12" s="91"/>
      <c r="C12" s="91"/>
      <c r="D12" s="91"/>
      <c r="E12" s="91"/>
      <c r="F12" s="91"/>
      <c r="G12" s="91"/>
    </row>
    <row r="13" spans="1:7" ht="12.75">
      <c r="A13" s="91"/>
      <c r="B13" s="91"/>
      <c r="C13" s="91"/>
      <c r="D13" s="91"/>
      <c r="E13" s="91"/>
      <c r="F13" s="91"/>
      <c r="G13" s="91"/>
    </row>
  </sheetData>
  <sheetProtection/>
  <mergeCells count="7">
    <mergeCell ref="B10:F11"/>
    <mergeCell ref="A1:G1"/>
    <mergeCell ref="A6:G6"/>
    <mergeCell ref="B3:F3"/>
    <mergeCell ref="B7:F9"/>
    <mergeCell ref="B2:F2"/>
    <mergeCell ref="B5:F5"/>
  </mergeCells>
  <hyperlinks>
    <hyperlink ref="B3:F3" location="OffScaleCalc!E5" display="OffScaleCalc!E5"/>
  </hyperlinks>
  <printOptions/>
  <pageMargins left="0.75" right="0.75" top="1" bottom="1" header="0.5" footer="0.5"/>
  <pageSetup horizontalDpi="600" verticalDpi="600" orientation="landscape" scale="85" r:id="rId2"/>
  <drawing r:id="rId1"/>
</worksheet>
</file>

<file path=xl/worksheets/sheet9.xml><?xml version="1.0" encoding="utf-8"?>
<worksheet xmlns="http://schemas.openxmlformats.org/spreadsheetml/2006/main" xmlns:r="http://schemas.openxmlformats.org/officeDocument/2006/relationships">
  <sheetPr codeName="Sheet7">
    <tabColor rgb="FFFF0066"/>
    <pageSetUpPr fitToPage="1"/>
  </sheetPr>
  <dimension ref="A1:G25"/>
  <sheetViews>
    <sheetView zoomScalePageLayoutView="0" workbookViewId="0" topLeftCell="A1">
      <selection activeCell="I15" sqref="I15:L15"/>
    </sheetView>
  </sheetViews>
  <sheetFormatPr defaultColWidth="9.140625" defaultRowHeight="12.75"/>
  <cols>
    <col min="1" max="1" width="5.7109375" style="0" customWidth="1"/>
    <col min="2" max="2" width="38.7109375" style="0" customWidth="1"/>
    <col min="3" max="3" width="5.7109375" style="0" customWidth="1"/>
    <col min="4" max="4" width="38.7109375" style="0" customWidth="1"/>
    <col min="5" max="5" width="5.7109375" style="0" customWidth="1"/>
    <col min="6" max="6" width="38.7109375" style="0" customWidth="1"/>
  </cols>
  <sheetData>
    <row r="1" spans="1:7" ht="60" customHeight="1">
      <c r="A1" s="938"/>
      <c r="B1" s="935"/>
      <c r="C1" s="935"/>
      <c r="D1" s="935"/>
      <c r="E1" s="935"/>
      <c r="F1" s="935"/>
      <c r="G1" s="935"/>
    </row>
    <row r="2" spans="1:7" ht="24.75" customHeight="1">
      <c r="A2" s="941"/>
      <c r="B2" s="941"/>
      <c r="C2" s="941"/>
      <c r="D2" s="941"/>
      <c r="E2" s="908"/>
      <c r="F2" s="908"/>
      <c r="G2" s="908"/>
    </row>
    <row r="3" spans="1:7" ht="24.75" customHeight="1">
      <c r="A3" s="87"/>
      <c r="B3" s="87"/>
      <c r="C3" s="87"/>
      <c r="D3" s="87"/>
      <c r="E3" s="80"/>
      <c r="F3" s="80"/>
      <c r="G3" s="80"/>
    </row>
    <row r="4" spans="1:7" ht="19.5" customHeight="1">
      <c r="A4" s="87"/>
      <c r="B4" s="942" t="s">
        <v>155</v>
      </c>
      <c r="C4" s="942"/>
      <c r="D4" s="942"/>
      <c r="E4" s="942"/>
      <c r="F4" s="942"/>
      <c r="G4" s="88"/>
    </row>
    <row r="5" spans="1:7" ht="28.5" customHeight="1">
      <c r="A5" s="87"/>
      <c r="B5" s="942"/>
      <c r="C5" s="942"/>
      <c r="D5" s="942"/>
      <c r="E5" s="942"/>
      <c r="F5" s="942"/>
      <c r="G5" s="88"/>
    </row>
    <row r="6" spans="1:7" ht="19.5" customHeight="1">
      <c r="A6" s="87"/>
      <c r="B6" s="96"/>
      <c r="C6" s="96"/>
      <c r="D6" s="96"/>
      <c r="E6" s="96"/>
      <c r="F6" s="96"/>
      <c r="G6" s="88"/>
    </row>
    <row r="7" spans="1:7" ht="24.75" customHeight="1">
      <c r="A7" s="89"/>
      <c r="B7" s="97"/>
      <c r="C7" s="97"/>
      <c r="D7" s="97"/>
      <c r="E7" s="97"/>
      <c r="F7" s="80"/>
      <c r="G7" s="80"/>
    </row>
    <row r="8" spans="1:7" ht="24.75" customHeight="1">
      <c r="A8" s="90"/>
      <c r="B8" s="939" t="s">
        <v>106</v>
      </c>
      <c r="C8" s="932"/>
      <c r="D8" s="932"/>
      <c r="E8" s="932"/>
      <c r="F8" s="932"/>
      <c r="G8" s="78"/>
    </row>
    <row r="9" spans="1:7" ht="24.75" customHeight="1">
      <c r="A9" s="98"/>
      <c r="B9" s="932"/>
      <c r="C9" s="932"/>
      <c r="D9" s="932"/>
      <c r="E9" s="932"/>
      <c r="F9" s="932"/>
      <c r="G9" s="78"/>
    </row>
    <row r="10" spans="1:7" ht="24.75" customHeight="1">
      <c r="A10" s="78"/>
      <c r="B10" s="921" t="s">
        <v>95</v>
      </c>
      <c r="C10" s="921"/>
      <c r="D10" s="921"/>
      <c r="E10" s="921"/>
      <c r="F10" s="921"/>
      <c r="G10" s="91"/>
    </row>
    <row r="11" spans="1:7" ht="12.75">
      <c r="A11" s="78" t="s">
        <v>23</v>
      </c>
      <c r="B11" s="91" t="s">
        <v>23</v>
      </c>
      <c r="C11" s="91"/>
      <c r="D11" s="91"/>
      <c r="E11" s="91"/>
      <c r="F11" s="91"/>
      <c r="G11" s="91"/>
    </row>
    <row r="12" spans="1:7" ht="24.75" customHeight="1">
      <c r="A12" s="78"/>
      <c r="B12" s="921"/>
      <c r="C12" s="921"/>
      <c r="D12" s="921"/>
      <c r="E12" s="921"/>
      <c r="F12" s="921"/>
      <c r="G12" s="91"/>
    </row>
    <row r="13" spans="1:7" ht="24.75" customHeight="1">
      <c r="A13" s="78" t="s">
        <v>23</v>
      </c>
      <c r="B13" s="940"/>
      <c r="C13" s="940"/>
      <c r="D13" s="940"/>
      <c r="E13" s="940"/>
      <c r="F13" s="940"/>
      <c r="G13" s="91"/>
    </row>
    <row r="14" spans="1:7" ht="12.75">
      <c r="A14" s="78"/>
      <c r="B14" s="91"/>
      <c r="C14" s="91"/>
      <c r="D14" s="91"/>
      <c r="E14" s="91"/>
      <c r="F14" s="91"/>
      <c r="G14" s="91"/>
    </row>
    <row r="15" spans="1:7" ht="12.75">
      <c r="A15" s="78"/>
      <c r="B15" s="91"/>
      <c r="C15" s="91"/>
      <c r="D15" s="91"/>
      <c r="E15" s="91"/>
      <c r="F15" s="91"/>
      <c r="G15" s="91"/>
    </row>
    <row r="16" spans="1:7" ht="12.75">
      <c r="A16" s="78"/>
      <c r="B16" s="91"/>
      <c r="C16" s="91"/>
      <c r="D16" s="91"/>
      <c r="E16" s="91"/>
      <c r="F16" s="91"/>
      <c r="G16" s="91"/>
    </row>
    <row r="17" spans="1:7" ht="12.75">
      <c r="A17" s="78"/>
      <c r="B17" s="78"/>
      <c r="C17" s="78"/>
      <c r="D17" s="78"/>
      <c r="E17" s="78"/>
      <c r="F17" s="78"/>
      <c r="G17" s="78"/>
    </row>
    <row r="18" spans="1:7" ht="12.75">
      <c r="A18" s="78"/>
      <c r="B18" s="78"/>
      <c r="C18" s="78"/>
      <c r="D18" s="78"/>
      <c r="E18" s="78"/>
      <c r="F18" s="78"/>
      <c r="G18" s="78"/>
    </row>
    <row r="19" spans="1:7" ht="12.75">
      <c r="A19" s="78"/>
      <c r="B19" s="78"/>
      <c r="C19" s="78"/>
      <c r="D19" s="78"/>
      <c r="E19" s="78"/>
      <c r="F19" s="78"/>
      <c r="G19" s="78"/>
    </row>
    <row r="20" spans="1:7" ht="12.75">
      <c r="A20" s="78"/>
      <c r="B20" s="78"/>
      <c r="C20" s="78"/>
      <c r="D20" s="78"/>
      <c r="E20" s="78"/>
      <c r="F20" s="78"/>
      <c r="G20" s="78"/>
    </row>
    <row r="21" spans="1:7" ht="12.75">
      <c r="A21" s="78"/>
      <c r="B21" s="78"/>
      <c r="C21" s="78"/>
      <c r="D21" s="78"/>
      <c r="E21" s="78"/>
      <c r="F21" s="78"/>
      <c r="G21" s="78"/>
    </row>
    <row r="22" spans="1:7" ht="12.75">
      <c r="A22" s="78"/>
      <c r="B22" s="78"/>
      <c r="C22" s="78"/>
      <c r="D22" s="78"/>
      <c r="E22" s="78"/>
      <c r="F22" s="78"/>
      <c r="G22" s="78"/>
    </row>
    <row r="23" spans="1:7" ht="12.75">
      <c r="A23" s="78"/>
      <c r="B23" s="78"/>
      <c r="C23" s="78"/>
      <c r="D23" s="78"/>
      <c r="E23" s="78"/>
      <c r="F23" s="78"/>
      <c r="G23" s="78"/>
    </row>
    <row r="24" spans="1:7" ht="12.75">
      <c r="A24" s="78"/>
      <c r="B24" s="78"/>
      <c r="C24" s="78"/>
      <c r="D24" s="78"/>
      <c r="E24" s="78"/>
      <c r="F24" s="78"/>
      <c r="G24" s="78"/>
    </row>
    <row r="25" spans="1:7" ht="12.75">
      <c r="A25" s="78"/>
      <c r="B25" s="78"/>
      <c r="C25" s="78"/>
      <c r="D25" s="78"/>
      <c r="E25" s="78"/>
      <c r="F25" s="78"/>
      <c r="G25" s="78"/>
    </row>
  </sheetData>
  <sheetProtection/>
  <mergeCells count="6">
    <mergeCell ref="A1:G1"/>
    <mergeCell ref="B8:F9"/>
    <mergeCell ref="B10:F10"/>
    <mergeCell ref="B12:F13"/>
    <mergeCell ref="A2:G2"/>
    <mergeCell ref="B4:F5"/>
  </mergeCells>
  <hyperlinks>
    <hyperlink ref="B4:F5" location="AboveScaleCalc!A2" display="The instructions for on-scale salary calculations also apply to Above Scale calculations, with the exception of the following:  After entering 'Total Percent Time' and 'Scale', enter the approved Above Scale fiscal year base rate in the field labeled 'Pro"/>
  </hyperlinks>
  <printOptions/>
  <pageMargins left="0.75" right="0.75" top="1" bottom="1" header="0.5" footer="0.5"/>
  <pageSetup fitToHeight="1" fitToWidth="1"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L. Madderra</dc:creator>
  <cp:keywords/>
  <dc:description/>
  <cp:lastModifiedBy>Brian Darnell</cp:lastModifiedBy>
  <cp:lastPrinted>2005-09-23T16:50:40Z</cp:lastPrinted>
  <dcterms:created xsi:type="dcterms:W3CDTF">1997-07-17T19:35:58Z</dcterms:created>
  <dcterms:modified xsi:type="dcterms:W3CDTF">2016-02-03T16:14:08Z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